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фінансування'!$A$1:$I$159</definedName>
  </definedNames>
  <calcPr fullCalcOnLoad="1"/>
</workbook>
</file>

<file path=xl/sharedStrings.xml><?xml version="1.0" encoding="utf-8"?>
<sst xmlns="http://schemas.openxmlformats.org/spreadsheetml/2006/main" count="164" uniqueCount="117">
  <si>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</si>
  <si>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</si>
  <si>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</si>
  <si>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</si>
  <si>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</si>
  <si>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</si>
  <si>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</si>
  <si>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</si>
  <si>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</si>
  <si>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</si>
  <si>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</si>
  <si>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</si>
  <si>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</si>
  <si>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</si>
  <si>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</si>
  <si>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</si>
  <si>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</si>
  <si>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</si>
  <si>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</si>
  <si>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</si>
  <si>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</si>
  <si>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</si>
  <si>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</si>
  <si>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</si>
  <si>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</si>
  <si>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</si>
  <si>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</si>
  <si>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</si>
  <si>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</si>
  <si>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</si>
  <si>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</si>
  <si>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</si>
  <si>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</si>
  <si>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</si>
  <si>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</si>
  <si>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</si>
  <si>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</si>
  <si>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</si>
  <si>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</si>
  <si>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</si>
  <si>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</si>
  <si>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</si>
  <si>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</si>
  <si>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</si>
  <si>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</si>
  <si>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</si>
  <si>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</si>
  <si>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</si>
  <si>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</si>
  <si>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</si>
  <si>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</si>
  <si>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</si>
  <si>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</si>
  <si>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</si>
  <si>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</si>
  <si>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</si>
  <si>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</si>
  <si>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</si>
  <si>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</si>
  <si>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</si>
  <si>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</si>
  <si>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</si>
  <si>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</si>
  <si>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</si>
  <si>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</si>
  <si>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</si>
  <si>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</si>
  <si>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</si>
  <si>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</si>
  <si>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</si>
  <si>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</si>
  <si>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</si>
  <si>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</si>
  <si>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</si>
  <si>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</si>
  <si>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</si>
  <si>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</si>
  <si>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</si>
  <si>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</si>
  <si>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</si>
  <si>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</si>
  <si>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</si>
  <si>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</si>
  <si>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</si>
  <si>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</si>
  <si>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</si>
  <si>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</si>
  <si>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</si>
  <si>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</si>
  <si>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</si>
  <si>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</si>
  <si>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</si>
  <si>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</si>
  <si>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</si>
  <si>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</si>
  <si>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</si>
  <si>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</si>
  <si>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</si>
  <si>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</si>
  <si>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</si>
  <si>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</si>
  <si>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</si>
  <si>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</si>
  <si>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</si>
  <si>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</si>
  <si>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2-х місяців, тис.грн.</t>
  </si>
  <si>
    <t>План на рік, тис.грн.</t>
  </si>
  <si>
    <t>Відсоток виконання плану 2-х місяців</t>
  </si>
  <si>
    <t>Відсоток виконання річного плану</t>
  </si>
  <si>
    <t>Відхилення від плану 2-х місяців, тис.грн.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</si>
  <si>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</si>
  <si>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</si>
  <si>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</si>
  <si>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Програма забезпечення амбулаторного лікування хворим нефрологічного профілю</t>
  </si>
  <si>
    <t>Дорожній фонд</t>
  </si>
  <si>
    <t>в т.ч. енергоносії</t>
  </si>
  <si>
    <t>Аналіз використання коштів міського бюджету за 2015 рік станом на 23.02.2015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</si>
</sst>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25" borderId="10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31544661"/>
        <c:axId val="15466494"/>
      </c:bar3DChart>
      <c:catAx>
        <c:axId val="31544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66494"/>
        <c:crosses val="autoZero"/>
        <c:auto val="1"/>
        <c:lblOffset val="100"/>
        <c:tickLblSkip val="1"/>
        <c:noMultiLvlLbl val="0"/>
      </c:catAx>
      <c:valAx>
        <c:axId val="154664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446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4980719"/>
        <c:axId val="44826472"/>
      </c:bar3DChart>
      <c:catAx>
        <c:axId val="4980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26472"/>
        <c:crosses val="autoZero"/>
        <c:auto val="1"/>
        <c:lblOffset val="100"/>
        <c:tickLblSkip val="1"/>
        <c:noMultiLvlLbl val="0"/>
      </c:catAx>
      <c:valAx>
        <c:axId val="44826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7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785065"/>
        <c:axId val="7065586"/>
      </c:bar3DChart>
      <c:catAx>
        <c:axId val="785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65586"/>
        <c:crosses val="autoZero"/>
        <c:auto val="1"/>
        <c:lblOffset val="100"/>
        <c:tickLblSkip val="1"/>
        <c:noMultiLvlLbl val="0"/>
      </c:catAx>
      <c:valAx>
        <c:axId val="7065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5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63590275"/>
        <c:axId val="35441564"/>
      </c:bar3DChart>
      <c:catAx>
        <c:axId val="6359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441564"/>
        <c:crosses val="autoZero"/>
        <c:auto val="1"/>
        <c:lblOffset val="100"/>
        <c:tickLblSkip val="1"/>
        <c:noMultiLvlLbl val="0"/>
      </c:catAx>
      <c:valAx>
        <c:axId val="35441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02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50538621"/>
        <c:axId val="52194406"/>
      </c:bar3DChart>
      <c:catAx>
        <c:axId val="5053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94406"/>
        <c:crosses val="autoZero"/>
        <c:auto val="1"/>
        <c:lblOffset val="100"/>
        <c:tickLblSkip val="2"/>
        <c:noMultiLvlLbl val="0"/>
      </c:catAx>
      <c:valAx>
        <c:axId val="52194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386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67096471"/>
        <c:axId val="66997328"/>
      </c:bar3DChart>
      <c:catAx>
        <c:axId val="67096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97328"/>
        <c:crosses val="autoZero"/>
        <c:auto val="1"/>
        <c:lblOffset val="100"/>
        <c:tickLblSkip val="1"/>
        <c:noMultiLvlLbl val="0"/>
      </c:catAx>
      <c:valAx>
        <c:axId val="66997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70964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66105041"/>
        <c:axId val="58074458"/>
      </c:bar3DChart>
      <c:catAx>
        <c:axId val="66105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8074458"/>
        <c:crosses val="autoZero"/>
        <c:auto val="1"/>
        <c:lblOffset val="100"/>
        <c:tickLblSkip val="1"/>
        <c:noMultiLvlLbl val="0"/>
      </c:catAx>
      <c:valAx>
        <c:axId val="58074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0504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52908075"/>
        <c:axId val="6410628"/>
      </c:bar3DChart>
      <c:catAx>
        <c:axId val="5290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0628"/>
        <c:crosses val="autoZero"/>
        <c:auto val="1"/>
        <c:lblOffset val="100"/>
        <c:tickLblSkip val="1"/>
        <c:noMultiLvlLbl val="0"/>
      </c:catAx>
      <c:valAx>
        <c:axId val="6410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080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фінансування'!$C$143:$C$148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фінансування'!$A$143:$A$148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фінансування'!$D$143:$D$148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57695653"/>
        <c:axId val="49498830"/>
      </c:bar3DChart>
      <c:catAx>
        <c:axId val="5769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498830"/>
        <c:crosses val="autoZero"/>
        <c:auto val="1"/>
        <c:lblOffset val="100"/>
        <c:tickLblSkip val="1"/>
        <c:noMultiLvlLbl val="0"/>
      </c:catAx>
      <c:valAx>
        <c:axId val="494988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956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8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116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105</v>
      </c>
      <c r="C3" s="151" t="s">
        <v>106</v>
      </c>
      <c r="D3" s="151" t="s">
        <v>29</v>
      </c>
      <c r="E3" s="151" t="s">
        <v>28</v>
      </c>
      <c r="F3" s="151" t="s">
        <v>107</v>
      </c>
      <c r="G3" s="151" t="s">
        <v>108</v>
      </c>
      <c r="H3" s="151" t="s">
        <v>109</v>
      </c>
      <c r="I3" s="151" t="s">
        <v>110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v>60509.5</v>
      </c>
      <c r="C6" s="53">
        <v>336144.8</v>
      </c>
      <c r="D6" s="54">
        <f>3778.8+318.6+74.4+4544.7+5310.3+2.2+304.5+4240.2+102.2+2722+99+59+395.4+13.7+14.4+157.5+8732.6+280+12.7+55.8+291.9+43.3</f>
        <v>31553.200000000008</v>
      </c>
      <c r="E6" s="3">
        <f>D6/D142*100</f>
        <v>41.24730710505951</v>
      </c>
      <c r="F6" s="3">
        <f>D6/B6*100</f>
        <v>52.14586139366547</v>
      </c>
      <c r="G6" s="3">
        <f aca="true" t="shared" si="0" ref="G6:G43">D6/C6*100</f>
        <v>9.386788074663064</v>
      </c>
      <c r="H6" s="3">
        <f>B6-D6</f>
        <v>28956.299999999992</v>
      </c>
      <c r="I6" s="3">
        <f aca="true" t="shared" si="1" ref="I6:I43">C6-D6</f>
        <v>304591.6</v>
      </c>
    </row>
    <row r="7" spans="1:9" s="44" customFormat="1" ht="18.75">
      <c r="A7" s="120" t="s">
        <v>111</v>
      </c>
      <c r="B7" s="121">
        <v>26787.1</v>
      </c>
      <c r="C7" s="122">
        <v>179936.4</v>
      </c>
      <c r="D7" s="123">
        <f>17278.1+34.8+43.3</f>
        <v>17356.199999999997</v>
      </c>
      <c r="E7" s="124">
        <f>D7/D6*100</f>
        <v>55.00614834628498</v>
      </c>
      <c r="F7" s="108">
        <f>D7/B7*100</f>
        <v>64.79312803550961</v>
      </c>
      <c r="G7" s="108">
        <f>D7/C7*100</f>
        <v>9.645741495328348</v>
      </c>
      <c r="H7" s="108">
        <f>B7-D7</f>
        <v>9430.900000000001</v>
      </c>
      <c r="I7" s="108">
        <f t="shared" si="1"/>
        <v>162580.2</v>
      </c>
    </row>
    <row r="8" spans="1:9" ht="18">
      <c r="A8" s="29" t="s">
        <v>3</v>
      </c>
      <c r="B8" s="49">
        <v>40465.7</v>
      </c>
      <c r="C8" s="50">
        <v>251964.7</v>
      </c>
      <c r="D8" s="51">
        <f>2656.8+4544.7+5310.3+304.5+4240.2+2115.7+0.5+13.7+8260.2</f>
        <v>27446.600000000002</v>
      </c>
      <c r="E8" s="1">
        <f>D8/D6*100</f>
        <v>86.98515522989743</v>
      </c>
      <c r="F8" s="1">
        <f>D8/B8*100</f>
        <v>67.8268261762431</v>
      </c>
      <c r="G8" s="1">
        <f t="shared" si="0"/>
        <v>10.89303382577004</v>
      </c>
      <c r="H8" s="1">
        <f>B8-D8</f>
        <v>13019.099999999995</v>
      </c>
      <c r="I8" s="1">
        <f t="shared" si="1"/>
        <v>224518.1</v>
      </c>
    </row>
    <row r="9" spans="1:9" ht="18">
      <c r="A9" s="29" t="s">
        <v>2</v>
      </c>
      <c r="B9" s="49">
        <v>1</v>
      </c>
      <c r="C9" s="50">
        <v>45.2</v>
      </c>
      <c r="D9" s="51"/>
      <c r="E9" s="12">
        <f>D9/D6*100</f>
        <v>0</v>
      </c>
      <c r="F9" s="117">
        <f>D9/B9*100</f>
        <v>0</v>
      </c>
      <c r="G9" s="1">
        <f t="shared" si="0"/>
        <v>0</v>
      </c>
      <c r="H9" s="1">
        <f aca="true" t="shared" si="2" ref="H9:H43">B9-D9</f>
        <v>1</v>
      </c>
      <c r="I9" s="1">
        <f t="shared" si="1"/>
        <v>45.2</v>
      </c>
    </row>
    <row r="10" spans="1:9" ht="18">
      <c r="A10" s="29" t="s">
        <v>1</v>
      </c>
      <c r="B10" s="49">
        <v>3431.9</v>
      </c>
      <c r="C10" s="50">
        <v>21498.1</v>
      </c>
      <c r="D10" s="55">
        <f>391.1+295.4+72.7+84.3+268.2+68.6+39+308.5+154.7+328.1+203.3+53.9+39.8+25.1</f>
        <v>2332.7000000000003</v>
      </c>
      <c r="E10" s="1">
        <f>D10/D6*100</f>
        <v>7.392911020118402</v>
      </c>
      <c r="F10" s="1">
        <f aca="true" t="shared" si="3" ref="F10:F41">D10/B10*100</f>
        <v>67.9710947288674</v>
      </c>
      <c r="G10" s="1">
        <f t="shared" si="0"/>
        <v>10.850726343258243</v>
      </c>
      <c r="H10" s="1">
        <f t="shared" si="2"/>
        <v>1099.1999999999998</v>
      </c>
      <c r="I10" s="1">
        <f t="shared" si="1"/>
        <v>19165.399999999998</v>
      </c>
    </row>
    <row r="11" spans="1:9" ht="18">
      <c r="A11" s="29" t="s">
        <v>0</v>
      </c>
      <c r="B11" s="49">
        <v>16195.8</v>
      </c>
      <c r="C11" s="50">
        <v>59404.7</v>
      </c>
      <c r="D11" s="56">
        <f>710.3+17.9+0.2+17+333.3+17.1+16+76.8+12.9+141.2+71+247.3+17.2</f>
        <v>1678.2</v>
      </c>
      <c r="E11" s="1">
        <f>D11/D6*100</f>
        <v>5.31863646159502</v>
      </c>
      <c r="F11" s="1">
        <f t="shared" si="3"/>
        <v>10.361945689623237</v>
      </c>
      <c r="G11" s="1">
        <f t="shared" si="0"/>
        <v>2.8250289960222004</v>
      </c>
      <c r="H11" s="1">
        <f t="shared" si="2"/>
        <v>14517.599999999999</v>
      </c>
      <c r="I11" s="1">
        <f t="shared" si="1"/>
        <v>57726.5</v>
      </c>
    </row>
    <row r="12" spans="1:9" ht="18">
      <c r="A12" s="29" t="s">
        <v>15</v>
      </c>
      <c r="B12" s="49">
        <v>23.1</v>
      </c>
      <c r="C12" s="50">
        <v>286.2</v>
      </c>
      <c r="D12" s="51">
        <f>3.8+3.8+12.7</f>
        <v>20.299999999999997</v>
      </c>
      <c r="E12" s="1">
        <f>D12/D6*100</f>
        <v>0.06433578844617976</v>
      </c>
      <c r="F12" s="1">
        <f t="shared" si="3"/>
        <v>87.87878787878786</v>
      </c>
      <c r="G12" s="1">
        <f t="shared" si="0"/>
        <v>7.092941998602376</v>
      </c>
      <c r="H12" s="1">
        <f t="shared" si="2"/>
        <v>2.8000000000000043</v>
      </c>
      <c r="I12" s="1">
        <f t="shared" si="1"/>
        <v>265.9</v>
      </c>
    </row>
    <row r="13" spans="1:9" ht="18.75" thickBot="1">
      <c r="A13" s="29" t="s">
        <v>35</v>
      </c>
      <c r="B13" s="50">
        <f>B6-B8-B9-B10-B11-B12</f>
        <v>392.00000000000216</v>
      </c>
      <c r="C13" s="50">
        <f>C6-C8-C9-C10-C11-C12</f>
        <v>2945.899999999984</v>
      </c>
      <c r="D13" s="50">
        <f>D6-D8-D9-D10-D11-D12</f>
        <v>75.4000000000055</v>
      </c>
      <c r="E13" s="1">
        <f>D13/D6*100</f>
        <v>0.23896149994297086</v>
      </c>
      <c r="F13" s="1">
        <f t="shared" si="3"/>
        <v>19.23469387755232</v>
      </c>
      <c r="G13" s="1">
        <f t="shared" si="0"/>
        <v>2.5594894599275575</v>
      </c>
      <c r="H13" s="1">
        <f t="shared" si="2"/>
        <v>316.59999999999667</v>
      </c>
      <c r="I13" s="1">
        <f t="shared" si="1"/>
        <v>2870.4999999999786</v>
      </c>
    </row>
    <row r="14" spans="1:9" s="44" customFormat="1" ht="18.75" customHeight="1" hidden="1">
      <c r="A14" s="109" t="s">
        <v>83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80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81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82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31358.8</v>
      </c>
      <c r="C18" s="53">
        <v>225678.2</v>
      </c>
      <c r="D18" s="54">
        <f>5164.3+574.5+4623.4+2805.2+358.8+626.5+552.8+632.3+5118.8+101.4+166.3+0.1</f>
        <v>20724.399999999998</v>
      </c>
      <c r="E18" s="3">
        <f>D18/D142*100</f>
        <v>27.09156888582125</v>
      </c>
      <c r="F18" s="3">
        <f>D18/B18*100</f>
        <v>66.08798806076763</v>
      </c>
      <c r="G18" s="3">
        <f t="shared" si="0"/>
        <v>9.1831643464012</v>
      </c>
      <c r="H18" s="3">
        <f>B18-D18</f>
        <v>10634.400000000001</v>
      </c>
      <c r="I18" s="3">
        <f t="shared" si="1"/>
        <v>204953.80000000002</v>
      </c>
    </row>
    <row r="19" spans="1:9" s="44" customFormat="1" ht="18.75">
      <c r="A19" s="120" t="s">
        <v>112</v>
      </c>
      <c r="B19" s="121">
        <v>31086.6</v>
      </c>
      <c r="C19" s="122">
        <v>186519.2</v>
      </c>
      <c r="D19" s="123">
        <v>20724.4</v>
      </c>
      <c r="E19" s="124">
        <f>D19/D18*100</f>
        <v>100.00000000000003</v>
      </c>
      <c r="F19" s="108">
        <f t="shared" si="3"/>
        <v>66.66666666666667</v>
      </c>
      <c r="G19" s="108">
        <f t="shared" si="0"/>
        <v>11.111134939459316</v>
      </c>
      <c r="H19" s="108">
        <f t="shared" si="2"/>
        <v>10362.199999999997</v>
      </c>
      <c r="I19" s="108">
        <f t="shared" si="1"/>
        <v>165794.80000000002</v>
      </c>
    </row>
    <row r="20" spans="1:9" ht="18">
      <c r="A20" s="29" t="s">
        <v>5</v>
      </c>
      <c r="B20" s="49">
        <v>24314.1</v>
      </c>
      <c r="C20" s="50">
        <v>169195.9</v>
      </c>
      <c r="D20" s="51">
        <f>5164.3+574.5+4352.6-225.6+2461.2+632.3+5026.9</f>
        <v>17986.199999999997</v>
      </c>
      <c r="E20" s="1">
        <f>D20/D18*100</f>
        <v>86.78755476636235</v>
      </c>
      <c r="F20" s="1">
        <f t="shared" si="3"/>
        <v>73.97436055622045</v>
      </c>
      <c r="G20" s="1">
        <f t="shared" si="0"/>
        <v>10.630399436392961</v>
      </c>
      <c r="H20" s="1">
        <f t="shared" si="2"/>
        <v>6327.9000000000015</v>
      </c>
      <c r="I20" s="1">
        <f t="shared" si="1"/>
        <v>151209.7</v>
      </c>
    </row>
    <row r="21" spans="1:9" ht="18">
      <c r="A21" s="29" t="s">
        <v>2</v>
      </c>
      <c r="B21" s="49">
        <v>655</v>
      </c>
      <c r="C21" s="50">
        <v>12491.1</v>
      </c>
      <c r="D21" s="51">
        <f>11+1.8+42.7+3+47.6</f>
        <v>106.1</v>
      </c>
      <c r="E21" s="1">
        <f>D21/D18*100</f>
        <v>0.5119569203451005</v>
      </c>
      <c r="F21" s="1">
        <f t="shared" si="3"/>
        <v>16.198473282442745</v>
      </c>
      <c r="G21" s="1">
        <f t="shared" si="0"/>
        <v>0.8494047762006548</v>
      </c>
      <c r="H21" s="1">
        <f t="shared" si="2"/>
        <v>548.9</v>
      </c>
      <c r="I21" s="1">
        <f t="shared" si="1"/>
        <v>12385</v>
      </c>
    </row>
    <row r="22" spans="1:9" ht="18">
      <c r="A22" s="29" t="s">
        <v>1</v>
      </c>
      <c r="B22" s="49">
        <v>477.2</v>
      </c>
      <c r="C22" s="50">
        <v>3253.3</v>
      </c>
      <c r="D22" s="51">
        <f>173.9+19+7.6+19.5</f>
        <v>220</v>
      </c>
      <c r="E22" s="1">
        <f>D22/D18*100</f>
        <v>1.0615506359653355</v>
      </c>
      <c r="F22" s="1">
        <f t="shared" si="3"/>
        <v>46.102263202011734</v>
      </c>
      <c r="G22" s="1">
        <f t="shared" si="0"/>
        <v>6.762364368487382</v>
      </c>
      <c r="H22" s="1">
        <f t="shared" si="2"/>
        <v>257.2</v>
      </c>
      <c r="I22" s="1">
        <f t="shared" si="1"/>
        <v>3033.3</v>
      </c>
    </row>
    <row r="23" spans="1:9" ht="18">
      <c r="A23" s="29" t="s">
        <v>0</v>
      </c>
      <c r="B23" s="49">
        <v>3808.5</v>
      </c>
      <c r="C23" s="50">
        <v>24676.2</v>
      </c>
      <c r="D23" s="51">
        <f>96.9+173.9+611.9+463.4+109.9</f>
        <v>1456</v>
      </c>
      <c r="E23" s="1">
        <f>D23/D18*100</f>
        <v>7.025535118025131</v>
      </c>
      <c r="F23" s="1">
        <f t="shared" si="3"/>
        <v>38.230274386241305</v>
      </c>
      <c r="G23" s="1">
        <f t="shared" si="0"/>
        <v>5.900422269231081</v>
      </c>
      <c r="H23" s="1">
        <f t="shared" si="2"/>
        <v>2352.5</v>
      </c>
      <c r="I23" s="1">
        <f t="shared" si="1"/>
        <v>23220.2</v>
      </c>
    </row>
    <row r="24" spans="1:9" ht="18">
      <c r="A24" s="29" t="s">
        <v>15</v>
      </c>
      <c r="B24" s="49">
        <v>237.2</v>
      </c>
      <c r="C24" s="50">
        <v>1528.1</v>
      </c>
      <c r="D24" s="51">
        <f>111</f>
        <v>111</v>
      </c>
      <c r="E24" s="1">
        <f>D24/D18*100</f>
        <v>0.5356005481461467</v>
      </c>
      <c r="F24" s="1">
        <f t="shared" si="3"/>
        <v>46.79595278246206</v>
      </c>
      <c r="G24" s="1">
        <f t="shared" si="0"/>
        <v>7.2639225181598075</v>
      </c>
      <c r="H24" s="1">
        <f t="shared" si="2"/>
        <v>126.19999999999999</v>
      </c>
      <c r="I24" s="1">
        <f t="shared" si="1"/>
        <v>1417.1</v>
      </c>
    </row>
    <row r="25" spans="1:9" ht="18.75" thickBot="1">
      <c r="A25" s="29" t="s">
        <v>35</v>
      </c>
      <c r="B25" s="50">
        <f>B18-B20-B21-B22-B23-B24</f>
        <v>1866.8000000000009</v>
      </c>
      <c r="C25" s="50">
        <f>C18-C20-C21-C22-C23-C24</f>
        <v>14533.600000000015</v>
      </c>
      <c r="D25" s="50">
        <f>D18-D20-D21-D22-D23-D24</f>
        <v>845.1000000000008</v>
      </c>
      <c r="E25" s="1">
        <f>D25/D18*100</f>
        <v>4.077802011155937</v>
      </c>
      <c r="F25" s="1">
        <f t="shared" si="3"/>
        <v>45.26998071566319</v>
      </c>
      <c r="G25" s="1">
        <f t="shared" si="0"/>
        <v>5.814801563274068</v>
      </c>
      <c r="H25" s="1">
        <f t="shared" si="2"/>
        <v>1021.7</v>
      </c>
      <c r="I25" s="1">
        <f t="shared" si="1"/>
        <v>13688.500000000015</v>
      </c>
    </row>
    <row r="26" spans="1:9" ht="57" hidden="1" thickBot="1">
      <c r="A26" s="109" t="s">
        <v>91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92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93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94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95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96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97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6997.8</v>
      </c>
      <c r="C33" s="53">
        <v>41831.7</v>
      </c>
      <c r="D33" s="57">
        <f>1251.6+285.2+60+12.3+10.8+1064.6+3.2+0.1-0.1+22.2+396.9+163.2+73.2+1267+3.8+36.5+85.5</f>
        <v>4735.999999999999</v>
      </c>
      <c r="E33" s="3">
        <f>D33/D142*100</f>
        <v>6.191043902030912</v>
      </c>
      <c r="F33" s="3">
        <f>D33/B33*100</f>
        <v>67.67841321558203</v>
      </c>
      <c r="G33" s="3">
        <f t="shared" si="0"/>
        <v>11.321557574757897</v>
      </c>
      <c r="H33" s="3">
        <f t="shared" si="2"/>
        <v>2261.800000000001</v>
      </c>
      <c r="I33" s="3">
        <f t="shared" si="1"/>
        <v>37095.7</v>
      </c>
    </row>
    <row r="34" spans="1:9" ht="18">
      <c r="A34" s="29" t="s">
        <v>3</v>
      </c>
      <c r="B34" s="49">
        <v>4755.9</v>
      </c>
      <c r="C34" s="50">
        <v>29626.4</v>
      </c>
      <c r="D34" s="51">
        <f>1216.2+1064.6-0.1+1185.2</f>
        <v>3465.9000000000005</v>
      </c>
      <c r="E34" s="1">
        <f>D34/D33*100</f>
        <v>73.18201013513516</v>
      </c>
      <c r="F34" s="1">
        <f t="shared" si="3"/>
        <v>72.87579637923423</v>
      </c>
      <c r="G34" s="1">
        <f t="shared" si="0"/>
        <v>11.69868765695461</v>
      </c>
      <c r="H34" s="1">
        <f t="shared" si="2"/>
        <v>1289.999999999999</v>
      </c>
      <c r="I34" s="1">
        <f t="shared" si="1"/>
        <v>26160.5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579</v>
      </c>
      <c r="C36" s="50">
        <v>2423.5</v>
      </c>
      <c r="D36" s="51">
        <f>6.5+2.8+10.2+0.8+23.6+67.7+80.5+1.3+36.1</f>
        <v>229.50000000000003</v>
      </c>
      <c r="E36" s="1">
        <f>D36/D33*100</f>
        <v>4.845861486486488</v>
      </c>
      <c r="F36" s="1">
        <f t="shared" si="3"/>
        <v>39.63730569948187</v>
      </c>
      <c r="G36" s="1">
        <f t="shared" si="0"/>
        <v>9.469775118630082</v>
      </c>
      <c r="H36" s="1">
        <f t="shared" si="2"/>
        <v>349.5</v>
      </c>
      <c r="I36" s="1">
        <f t="shared" si="1"/>
        <v>2194</v>
      </c>
    </row>
    <row r="37" spans="1:9" s="44" customFormat="1" ht="18.75">
      <c r="A37" s="23" t="s">
        <v>7</v>
      </c>
      <c r="B37" s="58">
        <v>75.3</v>
      </c>
      <c r="C37" s="59">
        <v>493.5</v>
      </c>
      <c r="D37" s="60">
        <f>19+12.3+0.1+11.9</f>
        <v>43.300000000000004</v>
      </c>
      <c r="E37" s="19">
        <f>D37/D33*100</f>
        <v>0.9142736486486489</v>
      </c>
      <c r="F37" s="19">
        <f t="shared" si="3"/>
        <v>57.50332005312085</v>
      </c>
      <c r="G37" s="19">
        <f t="shared" si="0"/>
        <v>8.77406281661601</v>
      </c>
      <c r="H37" s="19">
        <f t="shared" si="2"/>
        <v>31.999999999999993</v>
      </c>
      <c r="I37" s="19">
        <f t="shared" si="1"/>
        <v>450.2</v>
      </c>
    </row>
    <row r="38" spans="1:9" ht="18">
      <c r="A38" s="29" t="s">
        <v>15</v>
      </c>
      <c r="B38" s="49">
        <v>16.8</v>
      </c>
      <c r="C38" s="50">
        <v>47.2</v>
      </c>
      <c r="D38" s="50">
        <f>3.4+3.4</f>
        <v>6.8</v>
      </c>
      <c r="E38" s="1">
        <f>D38/D33*100</f>
        <v>0.1435810810810811</v>
      </c>
      <c r="F38" s="1">
        <f t="shared" si="3"/>
        <v>40.476190476190474</v>
      </c>
      <c r="G38" s="1">
        <f t="shared" si="0"/>
        <v>14.406779661016946</v>
      </c>
      <c r="H38" s="1">
        <f t="shared" si="2"/>
        <v>10</v>
      </c>
      <c r="I38" s="1">
        <f t="shared" si="1"/>
        <v>40.400000000000006</v>
      </c>
    </row>
    <row r="39" spans="1:9" ht="18.75" thickBot="1">
      <c r="A39" s="29" t="s">
        <v>35</v>
      </c>
      <c r="B39" s="49">
        <f>B33-B34-B36-B37-B35-B38</f>
        <v>1570.8000000000006</v>
      </c>
      <c r="C39" s="49">
        <f>C33-C34-C36-C37-C35-C38</f>
        <v>9241.099999999995</v>
      </c>
      <c r="D39" s="49">
        <f>D33-D34-D36-D37-D35-D38</f>
        <v>990.4999999999986</v>
      </c>
      <c r="E39" s="1">
        <f>D39/D33*100</f>
        <v>20.914273648648624</v>
      </c>
      <c r="F39" s="1">
        <f t="shared" si="3"/>
        <v>63.05704099821736</v>
      </c>
      <c r="G39" s="1">
        <f t="shared" si="0"/>
        <v>10.718420967200865</v>
      </c>
      <c r="H39" s="1">
        <f>B39-D39</f>
        <v>580.300000000002</v>
      </c>
      <c r="I39" s="1">
        <f t="shared" si="1"/>
        <v>8250.599999999997</v>
      </c>
    </row>
    <row r="40" spans="1:9" ht="19.5" hidden="1" thickBot="1">
      <c r="A40" s="109" t="s">
        <v>88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89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90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126.7</v>
      </c>
      <c r="C43" s="53">
        <v>768.4</v>
      </c>
      <c r="D43" s="54">
        <f>17.7+12.2+11.2</f>
        <v>41.099999999999994</v>
      </c>
      <c r="E43" s="3">
        <f>D43/D142*100</f>
        <v>0.05372717575453346</v>
      </c>
      <c r="F43" s="3">
        <f>D43/B43*100</f>
        <v>32.438831886345696</v>
      </c>
      <c r="G43" s="3">
        <f t="shared" si="0"/>
        <v>5.348776678813118</v>
      </c>
      <c r="H43" s="3">
        <f t="shared" si="2"/>
        <v>85.60000000000001</v>
      </c>
      <c r="I43" s="3">
        <f t="shared" si="1"/>
        <v>727.3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1093.6</v>
      </c>
      <c r="C45" s="53">
        <v>6659.3</v>
      </c>
      <c r="D45" s="54">
        <f>193+223+8.7+101.1+200.9</f>
        <v>726.6999999999999</v>
      </c>
      <c r="E45" s="3">
        <f>D45/D142*100</f>
        <v>0.9499644433289409</v>
      </c>
      <c r="F45" s="3">
        <f>D45/B45*100</f>
        <v>66.45025603511338</v>
      </c>
      <c r="G45" s="3">
        <f aca="true" t="shared" si="4" ref="G45:G75">D45/C45*100</f>
        <v>10.912558377006592</v>
      </c>
      <c r="H45" s="3">
        <f>B45-D45</f>
        <v>366.9</v>
      </c>
      <c r="I45" s="3">
        <f aca="true" t="shared" si="5" ref="I45:I76">C45-D45</f>
        <v>5932.6</v>
      </c>
    </row>
    <row r="46" spans="1:9" ht="18">
      <c r="A46" s="29" t="s">
        <v>3</v>
      </c>
      <c r="B46" s="49">
        <v>895.2</v>
      </c>
      <c r="C46" s="50">
        <v>5755.9</v>
      </c>
      <c r="D46" s="51">
        <f>193+222.7+1.6+196.4</f>
        <v>613.7</v>
      </c>
      <c r="E46" s="1">
        <f>D46/D45*100</f>
        <v>84.4502545754782</v>
      </c>
      <c r="F46" s="1">
        <f aca="true" t="shared" si="6" ref="F46:F73">D46/B46*100</f>
        <v>68.55451295799821</v>
      </c>
      <c r="G46" s="1">
        <f t="shared" si="4"/>
        <v>10.662103233204192</v>
      </c>
      <c r="H46" s="1">
        <f aca="true" t="shared" si="7" ref="H46:H73">B46-D46</f>
        <v>281.5</v>
      </c>
      <c r="I46" s="1">
        <f t="shared" si="5"/>
        <v>5142.2</v>
      </c>
    </row>
    <row r="47" spans="1:9" ht="18">
      <c r="A47" s="29" t="s">
        <v>2</v>
      </c>
      <c r="B47" s="49">
        <v>0</v>
      </c>
      <c r="C47" s="50">
        <v>1.2</v>
      </c>
      <c r="D47" s="51"/>
      <c r="E47" s="1">
        <f>D47/D45*100</f>
        <v>0</v>
      </c>
      <c r="F47" s="118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1.2</v>
      </c>
    </row>
    <row r="48" spans="1:9" ht="18">
      <c r="A48" s="29" t="s">
        <v>1</v>
      </c>
      <c r="B48" s="49">
        <v>7.4</v>
      </c>
      <c r="C48" s="50">
        <v>60.2</v>
      </c>
      <c r="D48" s="51">
        <f>3.8+1</f>
        <v>4.8</v>
      </c>
      <c r="E48" s="1">
        <f>D48/D45*100</f>
        <v>0.6605201596257053</v>
      </c>
      <c r="F48" s="1">
        <f t="shared" si="6"/>
        <v>64.86486486486486</v>
      </c>
      <c r="G48" s="1">
        <f t="shared" si="4"/>
        <v>7.973421926910299</v>
      </c>
      <c r="H48" s="1">
        <f t="shared" si="7"/>
        <v>2.6000000000000005</v>
      </c>
      <c r="I48" s="1">
        <f t="shared" si="5"/>
        <v>55.400000000000006</v>
      </c>
    </row>
    <row r="49" spans="1:9" ht="18">
      <c r="A49" s="29" t="s">
        <v>0</v>
      </c>
      <c r="B49" s="49">
        <v>160</v>
      </c>
      <c r="C49" s="50">
        <v>538.3</v>
      </c>
      <c r="D49" s="51">
        <f>4.7+90.3</f>
        <v>95</v>
      </c>
      <c r="E49" s="1">
        <f>D49/D45*100</f>
        <v>13.072794825925419</v>
      </c>
      <c r="F49" s="1">
        <f t="shared" si="6"/>
        <v>59.375</v>
      </c>
      <c r="G49" s="1">
        <f t="shared" si="4"/>
        <v>17.648151588333644</v>
      </c>
      <c r="H49" s="1">
        <f t="shared" si="7"/>
        <v>65</v>
      </c>
      <c r="I49" s="1">
        <f t="shared" si="5"/>
        <v>443.29999999999995</v>
      </c>
    </row>
    <row r="50" spans="1:9" ht="18.75" thickBot="1">
      <c r="A50" s="29" t="s">
        <v>35</v>
      </c>
      <c r="B50" s="50">
        <f>B45-B46-B49-B48-B47</f>
        <v>30.999999999999865</v>
      </c>
      <c r="C50" s="50">
        <f>C45-C46-C49-C48-C47</f>
        <v>303.7000000000006</v>
      </c>
      <c r="D50" s="50">
        <f>D45-D46-D49-D48-D47</f>
        <v>13.199999999999886</v>
      </c>
      <c r="E50" s="1">
        <f>D50/D45*100</f>
        <v>1.8164304389706738</v>
      </c>
      <c r="F50" s="1">
        <f t="shared" si="6"/>
        <v>42.580645161290136</v>
      </c>
      <c r="G50" s="1">
        <f t="shared" si="4"/>
        <v>4.346394468225176</v>
      </c>
      <c r="H50" s="1">
        <f t="shared" si="7"/>
        <v>17.79999999999998</v>
      </c>
      <c r="I50" s="1">
        <f t="shared" si="5"/>
        <v>290.50000000000074</v>
      </c>
    </row>
    <row r="51" spans="1:9" ht="18.75" thickBot="1">
      <c r="A51" s="28" t="s">
        <v>4</v>
      </c>
      <c r="B51" s="52">
        <v>2342.4</v>
      </c>
      <c r="C51" s="53">
        <v>13881</v>
      </c>
      <c r="D51" s="54">
        <f>260.4+84.2+35.2+27.7+429.5+47.7+9.2+7.6+47.3+0.3+0.2+338.5+6.8+0.3+85+62.8</f>
        <v>1442.7</v>
      </c>
      <c r="E51" s="3">
        <f>D51/D142*100</f>
        <v>1.8859415197339524</v>
      </c>
      <c r="F51" s="3">
        <f>D51/B51*100</f>
        <v>61.590676229508205</v>
      </c>
      <c r="G51" s="3">
        <f t="shared" si="4"/>
        <v>10.393343419062028</v>
      </c>
      <c r="H51" s="3">
        <f>B51-D51</f>
        <v>899.7</v>
      </c>
      <c r="I51" s="3">
        <f t="shared" si="5"/>
        <v>12438.3</v>
      </c>
    </row>
    <row r="52" spans="1:9" ht="18">
      <c r="A52" s="29" t="s">
        <v>3</v>
      </c>
      <c r="B52" s="49">
        <v>1346</v>
      </c>
      <c r="C52" s="50">
        <v>8729.1</v>
      </c>
      <c r="D52" s="51">
        <f>260.4+390.2+0.1+271.7</f>
        <v>922.3999999999999</v>
      </c>
      <c r="E52" s="1">
        <f>D52/D51*100</f>
        <v>63.93567616275039</v>
      </c>
      <c r="F52" s="1">
        <f t="shared" si="6"/>
        <v>68.52897473997027</v>
      </c>
      <c r="G52" s="1">
        <f t="shared" si="4"/>
        <v>10.566954210628813</v>
      </c>
      <c r="H52" s="1">
        <f t="shared" si="7"/>
        <v>423.60000000000014</v>
      </c>
      <c r="I52" s="1">
        <f t="shared" si="5"/>
        <v>7806.700000000001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8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15.4</v>
      </c>
      <c r="C54" s="50">
        <v>189.7</v>
      </c>
      <c r="D54" s="51">
        <f>1.7</f>
        <v>1.7</v>
      </c>
      <c r="E54" s="1">
        <f>D54/D51*100</f>
        <v>0.11783461565120952</v>
      </c>
      <c r="F54" s="1">
        <f t="shared" si="6"/>
        <v>11.03896103896104</v>
      </c>
      <c r="G54" s="1">
        <f t="shared" si="4"/>
        <v>0.8961518186610438</v>
      </c>
      <c r="H54" s="1">
        <f t="shared" si="7"/>
        <v>13.700000000000001</v>
      </c>
      <c r="I54" s="1">
        <f t="shared" si="5"/>
        <v>188</v>
      </c>
    </row>
    <row r="55" spans="1:9" ht="18">
      <c r="A55" s="29" t="s">
        <v>0</v>
      </c>
      <c r="B55" s="49">
        <v>125.2</v>
      </c>
      <c r="C55" s="50">
        <v>709.9</v>
      </c>
      <c r="D55" s="51">
        <f>1.1+7.6+5.9+0.3+0.2+6.8+0.3+67.1+16.4</f>
        <v>105.69999999999999</v>
      </c>
      <c r="E55" s="1">
        <f>D55/D51*100</f>
        <v>7.326540514313439</v>
      </c>
      <c r="F55" s="1">
        <f t="shared" si="6"/>
        <v>84.42492012779552</v>
      </c>
      <c r="G55" s="1">
        <f t="shared" si="4"/>
        <v>14.889421045217635</v>
      </c>
      <c r="H55" s="1">
        <f t="shared" si="7"/>
        <v>19.500000000000014</v>
      </c>
      <c r="I55" s="1">
        <f t="shared" si="5"/>
        <v>604.2</v>
      </c>
    </row>
    <row r="56" spans="1:9" ht="18.75" thickBot="1">
      <c r="A56" s="29" t="s">
        <v>35</v>
      </c>
      <c r="B56" s="50">
        <f>B51-B52-B55-B54-B53</f>
        <v>855.8000000000001</v>
      </c>
      <c r="C56" s="50">
        <f>C51-C52-C55-C54-C53</f>
        <v>4241.400000000001</v>
      </c>
      <c r="D56" s="50">
        <f>D51-D52-D55-D54-D53</f>
        <v>412.9000000000002</v>
      </c>
      <c r="E56" s="1">
        <f>D56/D51*100</f>
        <v>28.619948707284966</v>
      </c>
      <c r="F56" s="1">
        <f t="shared" si="6"/>
        <v>48.24725403131575</v>
      </c>
      <c r="G56" s="1">
        <f t="shared" si="4"/>
        <v>9.734993162634982</v>
      </c>
      <c r="H56" s="1">
        <f t="shared" si="7"/>
        <v>442.89999999999986</v>
      </c>
      <c r="I56" s="1">
        <f>C56-D56</f>
        <v>3828.5000000000005</v>
      </c>
    </row>
    <row r="57" spans="1:9" s="44" customFormat="1" ht="19.5" hidden="1" thickBot="1">
      <c r="A57" s="109" t="s">
        <v>87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358.5</v>
      </c>
      <c r="C58" s="53">
        <v>3033.3</v>
      </c>
      <c r="D58" s="54">
        <f>36.1+65.6+6.5+0.4+1.3+60.3+3+39.2+0.1+14.1</f>
        <v>226.59999999999997</v>
      </c>
      <c r="E58" s="3">
        <f>D58/D142*100</f>
        <v>0.2962184434544351</v>
      </c>
      <c r="F58" s="3">
        <f>D58/B58*100</f>
        <v>63.20781032078102</v>
      </c>
      <c r="G58" s="3">
        <f t="shared" si="4"/>
        <v>7.470411762766623</v>
      </c>
      <c r="H58" s="3">
        <f>B58-D58</f>
        <v>131.90000000000003</v>
      </c>
      <c r="I58" s="3">
        <f t="shared" si="5"/>
        <v>2806.7000000000003</v>
      </c>
    </row>
    <row r="59" spans="1:9" ht="18">
      <c r="A59" s="29" t="s">
        <v>3</v>
      </c>
      <c r="B59" s="49">
        <v>214.9</v>
      </c>
      <c r="C59" s="50">
        <v>1426.1</v>
      </c>
      <c r="D59" s="51">
        <f>36.1+65.6+39.2</f>
        <v>140.89999999999998</v>
      </c>
      <c r="E59" s="1">
        <f>D59/D58*100</f>
        <v>62.180052956751986</v>
      </c>
      <c r="F59" s="1">
        <f t="shared" si="6"/>
        <v>65.56537924616099</v>
      </c>
      <c r="G59" s="1">
        <f t="shared" si="4"/>
        <v>9.880092560129022</v>
      </c>
      <c r="H59" s="1">
        <f t="shared" si="7"/>
        <v>74.00000000000003</v>
      </c>
      <c r="I59" s="1">
        <f t="shared" si="5"/>
        <v>1285.1999999999998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8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84.7</v>
      </c>
      <c r="C61" s="50">
        <v>420.8</v>
      </c>
      <c r="D61" s="51">
        <f>1.3+56.1</f>
        <v>57.4</v>
      </c>
      <c r="E61" s="1">
        <f>D61/D58*100</f>
        <v>25.330979699911744</v>
      </c>
      <c r="F61" s="1">
        <f t="shared" si="6"/>
        <v>67.76859504132231</v>
      </c>
      <c r="G61" s="1">
        <f t="shared" si="4"/>
        <v>13.640684410646386</v>
      </c>
      <c r="H61" s="1">
        <f t="shared" si="7"/>
        <v>27.300000000000004</v>
      </c>
      <c r="I61" s="1">
        <f t="shared" si="5"/>
        <v>363.40000000000003</v>
      </c>
    </row>
    <row r="62" spans="1:9" ht="18">
      <c r="A62" s="29" t="s">
        <v>15</v>
      </c>
      <c r="B62" s="49">
        <v>0</v>
      </c>
      <c r="C62" s="50">
        <v>728.9</v>
      </c>
      <c r="D62" s="51"/>
      <c r="E62" s="1">
        <f>D62/D58*100</f>
        <v>0</v>
      </c>
      <c r="F62" s="118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728.9</v>
      </c>
    </row>
    <row r="63" spans="1:9" ht="18.75" thickBot="1">
      <c r="A63" s="29" t="s">
        <v>35</v>
      </c>
      <c r="B63" s="50">
        <f>B58-B59-B61-B62-B60</f>
        <v>58.89999999999999</v>
      </c>
      <c r="C63" s="50">
        <f>C58-C59-C61-C62-C60</f>
        <v>457.50000000000034</v>
      </c>
      <c r="D63" s="50">
        <f>D58-D59-D61-D62-D60</f>
        <v>28.29999999999999</v>
      </c>
      <c r="E63" s="1">
        <f>D63/D58*100</f>
        <v>12.488967343336272</v>
      </c>
      <c r="F63" s="1">
        <f t="shared" si="6"/>
        <v>48.04753820033955</v>
      </c>
      <c r="G63" s="1">
        <f t="shared" si="4"/>
        <v>6.1857923497267695</v>
      </c>
      <c r="H63" s="1">
        <f t="shared" si="7"/>
        <v>30.6</v>
      </c>
      <c r="I63" s="1">
        <f t="shared" si="5"/>
        <v>429.20000000000033</v>
      </c>
    </row>
    <row r="64" spans="1:9" s="44" customFormat="1" ht="19.5" hidden="1" thickBot="1">
      <c r="A64" s="109" t="s">
        <v>98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84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85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86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104.9</v>
      </c>
      <c r="C68" s="53">
        <f>C69+C70</f>
        <v>390.6</v>
      </c>
      <c r="D68" s="54">
        <f>SUM(D69:D70)</f>
        <v>0.2</v>
      </c>
      <c r="E68" s="42">
        <f>D68/D142*100</f>
        <v>0.00026144611072765684</v>
      </c>
      <c r="F68" s="112">
        <f>D68/B68*100</f>
        <v>0.19065776930409914</v>
      </c>
      <c r="G68" s="3">
        <f t="shared" si="4"/>
        <v>0.051203277009728626</v>
      </c>
      <c r="H68" s="3">
        <f>B68-D68</f>
        <v>104.7</v>
      </c>
      <c r="I68" s="3">
        <f t="shared" si="5"/>
        <v>390.40000000000003</v>
      </c>
    </row>
    <row r="69" spans="1:9" ht="18">
      <c r="A69" s="29" t="s">
        <v>8</v>
      </c>
      <c r="B69" s="49">
        <v>104.9</v>
      </c>
      <c r="C69" s="50">
        <v>390.6</v>
      </c>
      <c r="D69" s="51">
        <f>0.2</f>
        <v>0.2</v>
      </c>
      <c r="E69" s="1">
        <f>D69/D68*100</f>
        <v>100</v>
      </c>
      <c r="F69" s="1">
        <f t="shared" si="6"/>
        <v>0.19065776930409914</v>
      </c>
      <c r="G69" s="1">
        <f t="shared" si="4"/>
        <v>0.051203277009728626</v>
      </c>
      <c r="H69" s="1">
        <f t="shared" si="7"/>
        <v>104.7</v>
      </c>
      <c r="I69" s="1">
        <f t="shared" si="5"/>
        <v>390.40000000000003</v>
      </c>
    </row>
    <row r="70" spans="1:9" ht="18.75" thickBot="1">
      <c r="A70" s="29" t="s">
        <v>9</v>
      </c>
      <c r="B70" s="49"/>
      <c r="C70" s="50"/>
      <c r="D70" s="51"/>
      <c r="E70" s="1">
        <f>D70/D69*100</f>
        <v>0</v>
      </c>
      <c r="F70" s="118" t="e">
        <f t="shared" si="6"/>
        <v>#DIV/0!</v>
      </c>
      <c r="G70" s="118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D71/D142*100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1666.7</v>
      </c>
      <c r="C76" s="69">
        <v>10000</v>
      </c>
      <c r="D76" s="70"/>
      <c r="E76" s="48"/>
      <c r="F76" s="48"/>
      <c r="G76" s="48"/>
      <c r="H76" s="48">
        <f>B76-D76</f>
        <v>1666.7</v>
      </c>
      <c r="I76" s="48">
        <f t="shared" si="5"/>
        <v>10000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78</v>
      </c>
      <c r="B78" s="61"/>
      <c r="C78" s="53">
        <f>C79+C80</f>
        <v>0</v>
      </c>
      <c r="D78" s="53">
        <f>D79+D80</f>
        <v>0</v>
      </c>
      <c r="E78" s="3">
        <f>D78/D142*100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77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70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D83/D142*100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D86/D142*100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8070.4</v>
      </c>
      <c r="C89" s="53">
        <v>47925.9</v>
      </c>
      <c r="D89" s="54">
        <f>1173.8+37.3+101.8+9.7+15.1+2.5+6.1+25.2+161.9+1262.3+173.1+14.9+67.5+0.1+74.5+11.5+2+20+14.7+81.5+461.2+565+206.1+3.2+46+0.8+6.5+50.6</f>
        <v>4594.9</v>
      </c>
      <c r="E89" s="3">
        <f>D89/D142*100</f>
        <v>6.006593670912551</v>
      </c>
      <c r="F89" s="3">
        <f aca="true" t="shared" si="10" ref="F89:F95">D89/B89*100</f>
        <v>56.93522006344172</v>
      </c>
      <c r="G89" s="3">
        <f t="shared" si="8"/>
        <v>9.587509050429933</v>
      </c>
      <c r="H89" s="3">
        <f aca="true" t="shared" si="11" ref="H89:H95">B89-D89</f>
        <v>3475.5</v>
      </c>
      <c r="I89" s="3">
        <f t="shared" si="9"/>
        <v>43331</v>
      </c>
    </row>
    <row r="90" spans="1:9" ht="18">
      <c r="A90" s="29" t="s">
        <v>3</v>
      </c>
      <c r="B90" s="49">
        <v>6417.6</v>
      </c>
      <c r="C90" s="50">
        <v>39638</v>
      </c>
      <c r="D90" s="51">
        <f>1167.3+36.1+0.8+0.4+161.9+1233.6+154.1+3-0.1+4.3+0.5+8.4+3.9+81.5+433.3+525.7+205+5.2+9.3</f>
        <v>4034.2000000000007</v>
      </c>
      <c r="E90" s="1">
        <f>D90/D89*100</f>
        <v>87.79734052971774</v>
      </c>
      <c r="F90" s="1">
        <f t="shared" si="10"/>
        <v>62.861505858888066</v>
      </c>
      <c r="G90" s="1">
        <f t="shared" si="8"/>
        <v>10.177607346485697</v>
      </c>
      <c r="H90" s="1">
        <f t="shared" si="11"/>
        <v>2383.3999999999996</v>
      </c>
      <c r="I90" s="1">
        <f t="shared" si="9"/>
        <v>35603.8</v>
      </c>
    </row>
    <row r="91" spans="1:9" ht="18">
      <c r="A91" s="29" t="s">
        <v>33</v>
      </c>
      <c r="B91" s="49">
        <v>579.9</v>
      </c>
      <c r="C91" s="50">
        <v>2406.5</v>
      </c>
      <c r="D91" s="51">
        <f>15.4+0.6+1.6+3.7</f>
        <v>21.3</v>
      </c>
      <c r="E91" s="1">
        <f>D91/D89*100</f>
        <v>0.4635574223595726</v>
      </c>
      <c r="F91" s="1">
        <f t="shared" si="10"/>
        <v>3.673047077082256</v>
      </c>
      <c r="G91" s="1">
        <f t="shared" si="8"/>
        <v>0.8851028464575109</v>
      </c>
      <c r="H91" s="1">
        <f t="shared" si="11"/>
        <v>558.6</v>
      </c>
      <c r="I91" s="1">
        <f t="shared" si="9"/>
        <v>2385.2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7" t="s">
        <v>35</v>
      </c>
      <c r="B93" s="128">
        <f>B89-B90-B91-B92</f>
        <v>1072.8999999999992</v>
      </c>
      <c r="C93" s="128">
        <f>C89-C90-C91-C92</f>
        <v>5881.4000000000015</v>
      </c>
      <c r="D93" s="128">
        <f>D89-D90-D91-D92</f>
        <v>539.399999999999</v>
      </c>
      <c r="E93" s="129">
        <f>D93/D89*100</f>
        <v>11.739102047922675</v>
      </c>
      <c r="F93" s="129">
        <f t="shared" si="10"/>
        <v>50.27495572746755</v>
      </c>
      <c r="G93" s="129">
        <f>D93/C93*100</f>
        <v>9.171285748291202</v>
      </c>
      <c r="H93" s="129">
        <f t="shared" si="11"/>
        <v>533.5000000000002</v>
      </c>
      <c r="I93" s="129">
        <f>C93-D93</f>
        <v>5342.000000000003</v>
      </c>
    </row>
    <row r="94" spans="1:9" ht="18.75">
      <c r="A94" s="136" t="s">
        <v>12</v>
      </c>
      <c r="B94" s="141">
        <v>10260.3</v>
      </c>
      <c r="C94" s="143">
        <v>48638.3</v>
      </c>
      <c r="D94" s="142">
        <f>3479.6+8.1+4.1+53.2+1101.8+1997.1+228.6</f>
        <v>6872.5</v>
      </c>
      <c r="E94" s="135">
        <f>D94/D142*100</f>
        <v>8.983941979879106</v>
      </c>
      <c r="F94" s="139">
        <f t="shared" si="10"/>
        <v>66.98147227663908</v>
      </c>
      <c r="G94" s="126">
        <f>D94/C94*100</f>
        <v>14.129811280410703</v>
      </c>
      <c r="H94" s="140">
        <f t="shared" si="11"/>
        <v>3387.7999999999993</v>
      </c>
      <c r="I94" s="135">
        <f>C94-D94</f>
        <v>41765.8</v>
      </c>
    </row>
    <row r="95" spans="1:9" ht="18.75" thickBot="1">
      <c r="A95" s="137" t="s">
        <v>115</v>
      </c>
      <c r="B95" s="144">
        <v>714</v>
      </c>
      <c r="C95" s="145">
        <v>4853.7</v>
      </c>
      <c r="D95" s="146">
        <f>600</f>
        <v>600</v>
      </c>
      <c r="E95" s="147">
        <f>D95/D94*100</f>
        <v>8.730447435431065</v>
      </c>
      <c r="F95" s="148">
        <f t="shared" si="10"/>
        <v>84.03361344537815</v>
      </c>
      <c r="G95" s="149">
        <f>D95/C95*100</f>
        <v>12.36170344273441</v>
      </c>
      <c r="H95" s="138">
        <f t="shared" si="11"/>
        <v>114</v>
      </c>
      <c r="I95" s="96">
        <f>C95-D95</f>
        <v>4253.7</v>
      </c>
    </row>
    <row r="96" spans="1:9" ht="8.25" customHeight="1" thickBot="1">
      <c r="A96" s="130"/>
      <c r="B96" s="131"/>
      <c r="C96" s="132"/>
      <c r="D96" s="133"/>
      <c r="E96" s="134"/>
      <c r="F96" s="134"/>
      <c r="G96" s="134"/>
      <c r="H96" s="134"/>
      <c r="I96" s="134"/>
    </row>
    <row r="97" spans="1:9" ht="19.5" hidden="1" thickBot="1">
      <c r="A97" s="33" t="s">
        <v>46</v>
      </c>
      <c r="B97" s="75"/>
      <c r="C97" s="76"/>
      <c r="D97" s="77"/>
      <c r="E97" s="3">
        <f>D97/D142*100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67</v>
      </c>
      <c r="B99" s="61"/>
      <c r="C99" s="53"/>
      <c r="D99" s="54"/>
      <c r="E99" s="3">
        <f>D99/D142*100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1021.3</v>
      </c>
      <c r="C101" s="105">
        <v>6061.2</v>
      </c>
      <c r="D101" s="90">
        <f>110.5+80.7+66.2+55.7+33+106.8+21.7+2.2+3.9+0.4</f>
        <v>481.0999999999999</v>
      </c>
      <c r="E101" s="25">
        <f>D101/D142*100</f>
        <v>0.6289086193553783</v>
      </c>
      <c r="F101" s="25">
        <f>D101/B101*100</f>
        <v>47.10662880642318</v>
      </c>
      <c r="G101" s="25">
        <f aca="true" t="shared" si="12" ref="G101:G140">D101/C101*100</f>
        <v>7.937372137530521</v>
      </c>
      <c r="H101" s="25">
        <f aca="true" t="shared" si="13" ref="H101:H106">B101-D101</f>
        <v>540.2</v>
      </c>
      <c r="I101" s="25">
        <f aca="true" t="shared" si="14" ref="I101:I140">C101-D101</f>
        <v>5580.1</v>
      </c>
    </row>
    <row r="102" spans="1:9" ht="18" hidden="1">
      <c r="A102" s="91" t="s">
        <v>65</v>
      </c>
      <c r="B102" s="101"/>
      <c r="C102" s="99"/>
      <c r="D102" s="99"/>
      <c r="E102" s="95">
        <f>D102/D101*100</f>
        <v>0</v>
      </c>
      <c r="F102" s="118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64</v>
      </c>
      <c r="B103" s="81">
        <v>923</v>
      </c>
      <c r="C103" s="51">
        <v>5036.9</v>
      </c>
      <c r="D103" s="51">
        <f>110.3+80.7+66.2+32.9+19.7+106.6+21.7+3.9</f>
        <v>441.99999999999994</v>
      </c>
      <c r="E103" s="1">
        <f>D103/D101*100</f>
        <v>91.87279151943464</v>
      </c>
      <c r="F103" s="1">
        <f aca="true" t="shared" si="15" ref="F103:F140">D103/B103*100</f>
        <v>47.88732394366196</v>
      </c>
      <c r="G103" s="1">
        <f t="shared" si="12"/>
        <v>8.775238738112726</v>
      </c>
      <c r="H103" s="1">
        <f t="shared" si="13"/>
        <v>481.00000000000006</v>
      </c>
      <c r="I103" s="1">
        <f t="shared" si="14"/>
        <v>4594.9</v>
      </c>
    </row>
    <row r="104" spans="1:9" ht="54.75" hidden="1" thickBot="1">
      <c r="A104" s="98" t="s">
        <v>102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98.29999999999995</v>
      </c>
      <c r="C105" s="100">
        <f>C101-C102-C103</f>
        <v>1024.3000000000002</v>
      </c>
      <c r="D105" s="100">
        <f>D101-D102-D103</f>
        <v>39.099999999999966</v>
      </c>
      <c r="E105" s="96">
        <f>D105/D101*100</f>
        <v>8.127208480565365</v>
      </c>
      <c r="F105" s="96">
        <f t="shared" si="15"/>
        <v>39.77619532044759</v>
      </c>
      <c r="G105" s="96">
        <f t="shared" si="12"/>
        <v>3.8172410426632783</v>
      </c>
      <c r="H105" s="96">
        <f>B105-D105</f>
        <v>59.19999999999999</v>
      </c>
      <c r="I105" s="96">
        <f t="shared" si="14"/>
        <v>985.2000000000003</v>
      </c>
    </row>
    <row r="106" spans="1:9" s="2" customFormat="1" ht="26.25" customHeight="1" thickBot="1">
      <c r="A106" s="92" t="s">
        <v>36</v>
      </c>
      <c r="B106" s="93">
        <f>SUM(B107:B139)-B114-B118+B140-B133-B134-B108-B111-B121-B122</f>
        <v>33636.4</v>
      </c>
      <c r="C106" s="93">
        <f>SUM(C107:C139)-C114-C118+C140-C133-C134-C108-C111-C121-C122</f>
        <v>149465.6</v>
      </c>
      <c r="D106" s="93">
        <f>SUM(D107:D139)-D114-D118+D140-D133-D134-D108-D111-D121-D122</f>
        <v>5098.2</v>
      </c>
      <c r="E106" s="94">
        <f>D106/D142*100</f>
        <v>6.6645228085587</v>
      </c>
      <c r="F106" s="94">
        <f>D106/B106*100</f>
        <v>15.156794425087107</v>
      </c>
      <c r="G106" s="94">
        <f t="shared" si="12"/>
        <v>3.4109520852958806</v>
      </c>
      <c r="H106" s="94">
        <f t="shared" si="13"/>
        <v>28538.2</v>
      </c>
      <c r="I106" s="94">
        <f t="shared" si="14"/>
        <v>144367.4</v>
      </c>
    </row>
    <row r="107" spans="1:9" ht="37.5">
      <c r="A107" s="34" t="s">
        <v>68</v>
      </c>
      <c r="B107" s="78">
        <v>362.8</v>
      </c>
      <c r="C107" s="74">
        <v>1662.5</v>
      </c>
      <c r="D107" s="79">
        <f>114.2+9</f>
        <v>123.2</v>
      </c>
      <c r="E107" s="6">
        <f>D107/D106*100</f>
        <v>2.4165391706876935</v>
      </c>
      <c r="F107" s="6">
        <f t="shared" si="15"/>
        <v>33.95810363836825</v>
      </c>
      <c r="G107" s="6">
        <f t="shared" si="12"/>
        <v>7.4105263157894745</v>
      </c>
      <c r="H107" s="6">
        <f aca="true" t="shared" si="16" ref="H107:H140">B107-D107</f>
        <v>239.60000000000002</v>
      </c>
      <c r="I107" s="6">
        <f t="shared" si="14"/>
        <v>1539.3</v>
      </c>
    </row>
    <row r="108" spans="1:9" ht="18">
      <c r="A108" s="29" t="s">
        <v>33</v>
      </c>
      <c r="B108" s="81">
        <v>219.7</v>
      </c>
      <c r="C108" s="51">
        <v>823.7</v>
      </c>
      <c r="D108" s="82">
        <f>96.8</f>
        <v>96.8</v>
      </c>
      <c r="E108" s="1"/>
      <c r="F108" s="1">
        <f t="shared" si="15"/>
        <v>44.06008192990441</v>
      </c>
      <c r="G108" s="1">
        <f t="shared" si="12"/>
        <v>11.75185140220954</v>
      </c>
      <c r="H108" s="1">
        <f t="shared" si="16"/>
        <v>122.89999999999999</v>
      </c>
      <c r="I108" s="1">
        <f t="shared" si="14"/>
        <v>726.9000000000001</v>
      </c>
    </row>
    <row r="109" spans="1:9" ht="34.5" customHeight="1">
      <c r="A109" s="17" t="s">
        <v>101</v>
      </c>
      <c r="B109" s="80">
        <v>151</v>
      </c>
      <c r="C109" s="68">
        <v>903.8</v>
      </c>
      <c r="D109" s="79">
        <f>20.7</f>
        <v>20.7</v>
      </c>
      <c r="E109" s="6">
        <f>D109/D106*100</f>
        <v>0.40602565611392255</v>
      </c>
      <c r="F109" s="6">
        <f>D109/B109*100</f>
        <v>13.708609271523178</v>
      </c>
      <c r="G109" s="6">
        <f t="shared" si="12"/>
        <v>2.2903297189643728</v>
      </c>
      <c r="H109" s="6">
        <f t="shared" si="16"/>
        <v>130.3</v>
      </c>
      <c r="I109" s="6">
        <f t="shared" si="14"/>
        <v>883.0999999999999</v>
      </c>
    </row>
    <row r="110" spans="1:9" s="44" customFormat="1" ht="34.5" customHeight="1">
      <c r="A110" s="17" t="s">
        <v>76</v>
      </c>
      <c r="B110" s="80">
        <v>15.1</v>
      </c>
      <c r="C110" s="60">
        <v>71.8</v>
      </c>
      <c r="D110" s="83">
        <f>5.3+5.3</f>
        <v>10.6</v>
      </c>
      <c r="E110" s="6">
        <f>D110/D106*100</f>
        <v>0.2079165195559217</v>
      </c>
      <c r="F110" s="6">
        <f t="shared" si="15"/>
        <v>70.19867549668875</v>
      </c>
      <c r="G110" s="6">
        <f t="shared" si="12"/>
        <v>14.763231197771587</v>
      </c>
      <c r="H110" s="6">
        <f t="shared" si="16"/>
        <v>4.5</v>
      </c>
      <c r="I110" s="6">
        <f t="shared" si="14"/>
        <v>61.199999999999996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75</v>
      </c>
      <c r="B112" s="80">
        <v>11.1</v>
      </c>
      <c r="C112" s="68">
        <v>67.4</v>
      </c>
      <c r="D112" s="79">
        <f>5.5</f>
        <v>5.5</v>
      </c>
      <c r="E112" s="6">
        <f>D112/D106*100</f>
        <v>0.10788121297712917</v>
      </c>
      <c r="F112" s="6">
        <f t="shared" si="15"/>
        <v>49.549549549549546</v>
      </c>
      <c r="G112" s="6">
        <f t="shared" si="12"/>
        <v>8.160237388724035</v>
      </c>
      <c r="H112" s="6">
        <f t="shared" si="16"/>
        <v>5.6</v>
      </c>
      <c r="I112" s="6">
        <f t="shared" si="14"/>
        <v>61.900000000000006</v>
      </c>
    </row>
    <row r="113" spans="1:9" ht="37.5">
      <c r="A113" s="17" t="s">
        <v>47</v>
      </c>
      <c r="B113" s="80">
        <v>266.8</v>
      </c>
      <c r="C113" s="68">
        <v>1532.5</v>
      </c>
      <c r="D113" s="79">
        <f>96.4</f>
        <v>96.4</v>
      </c>
      <c r="E113" s="6">
        <f>D113/D106*100</f>
        <v>1.8908634419991373</v>
      </c>
      <c r="F113" s="6">
        <f t="shared" si="15"/>
        <v>36.13193403298351</v>
      </c>
      <c r="G113" s="6">
        <f t="shared" si="12"/>
        <v>6.290375203915172</v>
      </c>
      <c r="H113" s="6">
        <f t="shared" si="16"/>
        <v>170.4</v>
      </c>
      <c r="I113" s="6">
        <f t="shared" si="14"/>
        <v>1436.1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61</v>
      </c>
      <c r="B115" s="80">
        <v>36</v>
      </c>
      <c r="C115" s="60">
        <v>36</v>
      </c>
      <c r="D115" s="83"/>
      <c r="E115" s="19">
        <f>D115/D106*100</f>
        <v>0</v>
      </c>
      <c r="F115" s="6">
        <f t="shared" si="15"/>
        <v>0</v>
      </c>
      <c r="G115" s="19">
        <f t="shared" si="12"/>
        <v>0</v>
      </c>
      <c r="H115" s="19">
        <f t="shared" si="16"/>
        <v>36</v>
      </c>
      <c r="I115" s="19">
        <f t="shared" si="14"/>
        <v>36</v>
      </c>
    </row>
    <row r="116" spans="1:9" ht="37.5">
      <c r="A116" s="17" t="s">
        <v>60</v>
      </c>
      <c r="B116" s="80">
        <v>90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90</v>
      </c>
      <c r="I116" s="6">
        <f t="shared" si="14"/>
        <v>245.2</v>
      </c>
    </row>
    <row r="117" spans="1:9" s="2" customFormat="1" ht="18.75">
      <c r="A117" s="17" t="s">
        <v>16</v>
      </c>
      <c r="B117" s="80">
        <v>39.9</v>
      </c>
      <c r="C117" s="60">
        <v>199.6</v>
      </c>
      <c r="D117" s="79">
        <f>1.6+18.3</f>
        <v>19.900000000000002</v>
      </c>
      <c r="E117" s="6">
        <f>D117/D106*100</f>
        <v>0.3903338433172493</v>
      </c>
      <c r="F117" s="6">
        <f t="shared" si="15"/>
        <v>49.87468671679199</v>
      </c>
      <c r="G117" s="6">
        <f t="shared" si="12"/>
        <v>9.96993987975952</v>
      </c>
      <c r="H117" s="6">
        <f t="shared" si="16"/>
        <v>19.999999999999996</v>
      </c>
      <c r="I117" s="6">
        <f t="shared" si="14"/>
        <v>179.7</v>
      </c>
    </row>
    <row r="118" spans="1:9" s="39" customFormat="1" ht="18">
      <c r="A118" s="40" t="s">
        <v>54</v>
      </c>
      <c r="B118" s="81">
        <v>33.4</v>
      </c>
      <c r="C118" s="51">
        <v>150.8</v>
      </c>
      <c r="D118" s="82">
        <f>16.7</f>
        <v>16.7</v>
      </c>
      <c r="E118" s="1"/>
      <c r="F118" s="1">
        <f t="shared" si="15"/>
        <v>50</v>
      </c>
      <c r="G118" s="1">
        <f t="shared" si="12"/>
        <v>11.074270557029177</v>
      </c>
      <c r="H118" s="1">
        <f t="shared" si="16"/>
        <v>16.7</v>
      </c>
      <c r="I118" s="1">
        <f t="shared" si="14"/>
        <v>134.10000000000002</v>
      </c>
    </row>
    <row r="119" spans="1:9" s="2" customFormat="1" ht="18.75">
      <c r="A119" s="17" t="s">
        <v>25</v>
      </c>
      <c r="B119" s="80">
        <v>27.9</v>
      </c>
      <c r="C119" s="60">
        <v>1468.8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27.9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120</v>
      </c>
      <c r="C120" s="60">
        <v>628</v>
      </c>
      <c r="D120" s="83">
        <f>110.6</f>
        <v>110.6</v>
      </c>
      <c r="E120" s="19">
        <f>D120/D106*100</f>
        <v>2.169393119140089</v>
      </c>
      <c r="F120" s="6">
        <f t="shared" si="15"/>
        <v>92.16666666666666</v>
      </c>
      <c r="G120" s="6">
        <f t="shared" si="12"/>
        <v>17.611464968152866</v>
      </c>
      <c r="H120" s="6">
        <f t="shared" si="16"/>
        <v>9.400000000000006</v>
      </c>
      <c r="I120" s="6">
        <f t="shared" si="14"/>
        <v>517.4</v>
      </c>
    </row>
    <row r="121" spans="1:9" s="116" customFormat="1" ht="18" hidden="1">
      <c r="A121" s="29" t="s">
        <v>103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6" customFormat="1" ht="18" hidden="1">
      <c r="A122" s="29" t="s">
        <v>65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283.4</v>
      </c>
      <c r="C123" s="60">
        <v>2933.8</v>
      </c>
      <c r="D123" s="83">
        <f>21+0.9</f>
        <v>21.9</v>
      </c>
      <c r="E123" s="19">
        <f>D123/D106*100</f>
        <v>0.4295633753089325</v>
      </c>
      <c r="F123" s="6">
        <f t="shared" si="15"/>
        <v>7.727593507410021</v>
      </c>
      <c r="G123" s="6">
        <f t="shared" si="12"/>
        <v>0.7464721521576112</v>
      </c>
      <c r="H123" s="6">
        <f t="shared" si="16"/>
        <v>261.5</v>
      </c>
      <c r="I123" s="6">
        <f t="shared" si="14"/>
        <v>2911.9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/>
      <c r="E124" s="19">
        <f>D124/D106*100</f>
        <v>0</v>
      </c>
      <c r="F124" s="6">
        <f t="shared" si="15"/>
        <v>0</v>
      </c>
      <c r="G124" s="6">
        <f t="shared" si="12"/>
        <v>0</v>
      </c>
      <c r="H124" s="6">
        <f t="shared" si="16"/>
        <v>129.9</v>
      </c>
      <c r="I124" s="6">
        <f t="shared" si="14"/>
        <v>129.9</v>
      </c>
    </row>
    <row r="125" spans="1:9" s="2" customFormat="1" ht="18.75">
      <c r="A125" s="17" t="s">
        <v>99</v>
      </c>
      <c r="B125" s="80">
        <v>2</v>
      </c>
      <c r="C125" s="60">
        <v>2</v>
      </c>
      <c r="D125" s="83"/>
      <c r="E125" s="19">
        <f>D125/D106*100</f>
        <v>0</v>
      </c>
      <c r="F125" s="6">
        <f t="shared" si="15"/>
        <v>0</v>
      </c>
      <c r="G125" s="6">
        <f t="shared" si="12"/>
        <v>0</v>
      </c>
      <c r="H125" s="6">
        <f t="shared" si="16"/>
        <v>2</v>
      </c>
      <c r="I125" s="6">
        <f t="shared" si="14"/>
        <v>2</v>
      </c>
    </row>
    <row r="126" spans="1:9" s="2" customFormat="1" ht="18.75" hidden="1">
      <c r="A126" s="17" t="s">
        <v>59</v>
      </c>
      <c r="B126" s="80"/>
      <c r="C126" s="60"/>
      <c r="D126" s="83"/>
      <c r="E126" s="19">
        <f>D126/D106*100</f>
        <v>0</v>
      </c>
      <c r="F126" s="6" t="e">
        <f t="shared" si="15"/>
        <v>#DIV/0!</v>
      </c>
      <c r="G126" s="6" t="e">
        <f t="shared" si="12"/>
        <v>#DIV/0!</v>
      </c>
      <c r="H126" s="6">
        <f t="shared" si="16"/>
        <v>0</v>
      </c>
      <c r="I126" s="6">
        <f t="shared" si="14"/>
        <v>0</v>
      </c>
    </row>
    <row r="127" spans="1:9" s="2" customFormat="1" ht="37.5">
      <c r="A127" s="17" t="s">
        <v>79</v>
      </c>
      <c r="B127" s="80">
        <v>52</v>
      </c>
      <c r="C127" s="60">
        <v>101.4</v>
      </c>
      <c r="D127" s="83">
        <f>3+3+4.9</f>
        <v>10.9</v>
      </c>
      <c r="E127" s="19">
        <f>D127/D106*100</f>
        <v>0.21380094935467422</v>
      </c>
      <c r="F127" s="6">
        <f t="shared" si="15"/>
        <v>20.961538461538463</v>
      </c>
      <c r="G127" s="6">
        <f t="shared" si="12"/>
        <v>10.749506903353057</v>
      </c>
      <c r="H127" s="6">
        <f t="shared" si="16"/>
        <v>41.1</v>
      </c>
      <c r="I127" s="6">
        <f t="shared" si="14"/>
        <v>90.5</v>
      </c>
    </row>
    <row r="128" spans="1:9" s="2" customFormat="1" ht="18.75">
      <c r="A128" s="17" t="s">
        <v>73</v>
      </c>
      <c r="B128" s="80">
        <v>0</v>
      </c>
      <c r="C128" s="60">
        <v>650</v>
      </c>
      <c r="D128" s="83"/>
      <c r="E128" s="19">
        <f>D128/D106*100</f>
        <v>0</v>
      </c>
      <c r="F128" s="119" t="e">
        <f t="shared" si="15"/>
        <v>#DIV/0!</v>
      </c>
      <c r="G128" s="6">
        <f t="shared" si="12"/>
        <v>0</v>
      </c>
      <c r="H128" s="6">
        <f t="shared" si="16"/>
        <v>0</v>
      </c>
      <c r="I128" s="6">
        <f t="shared" si="14"/>
        <v>650</v>
      </c>
    </row>
    <row r="129" spans="1:9" s="2" customFormat="1" ht="35.25" customHeight="1">
      <c r="A129" s="17" t="s">
        <v>72</v>
      </c>
      <c r="B129" s="80">
        <v>139.9</v>
      </c>
      <c r="C129" s="60">
        <v>171.5</v>
      </c>
      <c r="D129" s="83">
        <f>5.6+5.6</f>
        <v>11.2</v>
      </c>
      <c r="E129" s="19">
        <f>D129/D106*100</f>
        <v>0.21968537915342667</v>
      </c>
      <c r="F129" s="6">
        <f t="shared" si="15"/>
        <v>8.005718370264473</v>
      </c>
      <c r="G129" s="6">
        <f t="shared" si="12"/>
        <v>6.530612244897958</v>
      </c>
      <c r="H129" s="6">
        <f t="shared" si="16"/>
        <v>128.70000000000002</v>
      </c>
      <c r="I129" s="6">
        <f t="shared" si="14"/>
        <v>160.3</v>
      </c>
    </row>
    <row r="130" spans="1:9" s="2" customFormat="1" ht="35.25" customHeight="1">
      <c r="A130" s="17" t="s">
        <v>74</v>
      </c>
      <c r="B130" s="80">
        <v>0</v>
      </c>
      <c r="C130" s="60">
        <v>220</v>
      </c>
      <c r="D130" s="83"/>
      <c r="E130" s="19">
        <f>D130/D106*100</f>
        <v>0</v>
      </c>
      <c r="F130" s="119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113</v>
      </c>
      <c r="B131" s="80">
        <v>2067.2</v>
      </c>
      <c r="C131" s="60">
        <v>2067.2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2067.2</v>
      </c>
      <c r="I131" s="6">
        <f t="shared" si="14"/>
        <v>2067.2</v>
      </c>
    </row>
    <row r="132" spans="1:9" s="2" customFormat="1" ht="18.75">
      <c r="A132" s="17" t="s">
        <v>32</v>
      </c>
      <c r="B132" s="80">
        <v>155</v>
      </c>
      <c r="C132" s="60">
        <v>981.9</v>
      </c>
      <c r="D132" s="83">
        <f>21.9+41.8+0.1+6.1+26+3.6+0.1</f>
        <v>99.59999999999998</v>
      </c>
      <c r="E132" s="19">
        <f>D132/D106*100</f>
        <v>1.9536306931858298</v>
      </c>
      <c r="F132" s="6">
        <f t="shared" si="15"/>
        <v>64.25806451612902</v>
      </c>
      <c r="G132" s="6">
        <f t="shared" si="12"/>
        <v>10.143599144515733</v>
      </c>
      <c r="H132" s="6">
        <f t="shared" si="16"/>
        <v>55.40000000000002</v>
      </c>
      <c r="I132" s="6">
        <f t="shared" si="14"/>
        <v>882.3</v>
      </c>
    </row>
    <row r="133" spans="1:9" s="39" customFormat="1" ht="18">
      <c r="A133" s="40" t="s">
        <v>54</v>
      </c>
      <c r="B133" s="81">
        <v>130.5</v>
      </c>
      <c r="C133" s="51">
        <v>848.7</v>
      </c>
      <c r="D133" s="82">
        <f>21.9+39.7+0.1+6.1+19</f>
        <v>86.8</v>
      </c>
      <c r="E133" s="1">
        <f>D133/D132*100</f>
        <v>87.14859437751005</v>
      </c>
      <c r="F133" s="1">
        <f aca="true" t="shared" si="17" ref="F133:F139">D133/B133*100</f>
        <v>66.51340996168582</v>
      </c>
      <c r="G133" s="1">
        <f t="shared" si="12"/>
        <v>10.227406621892305</v>
      </c>
      <c r="H133" s="1">
        <f t="shared" si="16"/>
        <v>43.7</v>
      </c>
      <c r="I133" s="1">
        <f t="shared" si="14"/>
        <v>761.9000000000001</v>
      </c>
    </row>
    <row r="134" spans="1:9" s="39" customFormat="1" ht="18">
      <c r="A134" s="29" t="s">
        <v>33</v>
      </c>
      <c r="B134" s="81">
        <v>13.4</v>
      </c>
      <c r="C134" s="51">
        <v>26.3</v>
      </c>
      <c r="D134" s="82">
        <f>7</f>
        <v>7</v>
      </c>
      <c r="E134" s="1">
        <f>D134/D132*100</f>
        <v>7.028112449799198</v>
      </c>
      <c r="F134" s="1">
        <f t="shared" si="17"/>
        <v>52.23880597014925</v>
      </c>
      <c r="G134" s="1">
        <f>D134/C134*100</f>
        <v>26.61596958174905</v>
      </c>
      <c r="H134" s="1">
        <f t="shared" si="16"/>
        <v>6.4</v>
      </c>
      <c r="I134" s="1">
        <f t="shared" si="14"/>
        <v>19.3</v>
      </c>
    </row>
    <row r="135" spans="1:9" s="2" customFormat="1" ht="18.75">
      <c r="A135" s="125" t="s">
        <v>114</v>
      </c>
      <c r="B135" s="80">
        <v>700</v>
      </c>
      <c r="C135" s="60">
        <v>6500</v>
      </c>
      <c r="D135" s="83"/>
      <c r="E135" s="19">
        <f>D135/D106*100</f>
        <v>0</v>
      </c>
      <c r="F135" s="113">
        <f t="shared" si="17"/>
        <v>0</v>
      </c>
      <c r="G135" s="6">
        <f t="shared" si="12"/>
        <v>0</v>
      </c>
      <c r="H135" s="6">
        <f t="shared" si="16"/>
        <v>700</v>
      </c>
      <c r="I135" s="6">
        <f t="shared" si="14"/>
        <v>6500</v>
      </c>
    </row>
    <row r="136" spans="1:9" s="2" customFormat="1" ht="18.75">
      <c r="A136" s="125" t="s">
        <v>26</v>
      </c>
      <c r="B136" s="80">
        <v>1258.9</v>
      </c>
      <c r="C136" s="60">
        <v>6082.6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1258.9</v>
      </c>
      <c r="I136" s="6">
        <f t="shared" si="14"/>
        <v>6082.6</v>
      </c>
    </row>
    <row r="137" spans="1:9" s="2" customFormat="1" ht="18.75">
      <c r="A137" s="17" t="s">
        <v>27</v>
      </c>
      <c r="B137" s="80">
        <v>2094</v>
      </c>
      <c r="C137" s="60">
        <v>8376</v>
      </c>
      <c r="D137" s="83">
        <f>2094</f>
        <v>2094</v>
      </c>
      <c r="E137" s="19">
        <f>D137/D106*100</f>
        <v>41.07331999529246</v>
      </c>
      <c r="F137" s="113">
        <f t="shared" si="17"/>
        <v>100</v>
      </c>
      <c r="G137" s="6">
        <f t="shared" si="12"/>
        <v>25</v>
      </c>
      <c r="H137" s="6">
        <f t="shared" si="16"/>
        <v>0</v>
      </c>
      <c r="I137" s="6">
        <f t="shared" si="14"/>
        <v>6282</v>
      </c>
    </row>
    <row r="138" spans="1:12" s="2" customFormat="1" ht="18.75" customHeight="1">
      <c r="A138" s="17" t="s">
        <v>100</v>
      </c>
      <c r="B138" s="80">
        <v>538.2</v>
      </c>
      <c r="C138" s="60">
        <v>538.2</v>
      </c>
      <c r="D138" s="83"/>
      <c r="E138" s="19">
        <f>D138/D106*100</f>
        <v>0</v>
      </c>
      <c r="F138" s="113">
        <f t="shared" si="17"/>
        <v>0</v>
      </c>
      <c r="G138" s="6">
        <f t="shared" si="12"/>
        <v>0</v>
      </c>
      <c r="H138" s="6">
        <f t="shared" si="16"/>
        <v>538.2</v>
      </c>
      <c r="I138" s="6">
        <f t="shared" si="14"/>
        <v>538.2</v>
      </c>
      <c r="K138" s="45"/>
      <c r="L138" s="45"/>
    </row>
    <row r="139" spans="1:12" s="2" customFormat="1" ht="19.5" customHeight="1">
      <c r="A139" s="17" t="s">
        <v>66</v>
      </c>
      <c r="B139" s="80">
        <v>21384.7</v>
      </c>
      <c r="C139" s="60">
        <v>91632.1</v>
      </c>
      <c r="D139" s="83"/>
      <c r="E139" s="19">
        <f>D139/D106*100</f>
        <v>0</v>
      </c>
      <c r="F139" s="6">
        <f t="shared" si="17"/>
        <v>0</v>
      </c>
      <c r="G139" s="6">
        <f t="shared" si="12"/>
        <v>0</v>
      </c>
      <c r="H139" s="6">
        <f t="shared" si="16"/>
        <v>21384.7</v>
      </c>
      <c r="I139" s="6">
        <f t="shared" si="14"/>
        <v>91632.1</v>
      </c>
      <c r="K139" s="103"/>
      <c r="L139" s="45"/>
    </row>
    <row r="140" spans="1:12" s="2" customFormat="1" ht="18.75">
      <c r="A140" s="17" t="s">
        <v>104</v>
      </c>
      <c r="B140" s="80">
        <v>3710.6</v>
      </c>
      <c r="C140" s="60">
        <v>22263.4</v>
      </c>
      <c r="D140" s="83">
        <f>1236.9+618.4+618.4</f>
        <v>2473.7000000000003</v>
      </c>
      <c r="E140" s="19">
        <f>D140/D106*100</f>
        <v>48.52104664391354</v>
      </c>
      <c r="F140" s="6">
        <f t="shared" si="15"/>
        <v>66.66576833935214</v>
      </c>
      <c r="G140" s="6">
        <f t="shared" si="12"/>
        <v>11.111061203589749</v>
      </c>
      <c r="H140" s="6">
        <f t="shared" si="16"/>
        <v>1236.8999999999996</v>
      </c>
      <c r="I140" s="6">
        <f t="shared" si="14"/>
        <v>19789.7</v>
      </c>
      <c r="K140" s="45"/>
      <c r="L140" s="45"/>
    </row>
    <row r="141" spans="1:12" s="2" customFormat="1" ht="19.5" thickBot="1">
      <c r="A141" s="41" t="s">
        <v>37</v>
      </c>
      <c r="B141" s="84">
        <f>B43+B68+B71+B76+B78+B86+B101+B106+B99+B83+B97</f>
        <v>36556</v>
      </c>
      <c r="C141" s="84">
        <f>C43+C68+C71+C76+C78+C86+C101+C106+C99+C83+C97</f>
        <v>166685.80000000002</v>
      </c>
      <c r="D141" s="60">
        <f>D43+D68+D71+D76+D78+D86+D101+D106+D99+D83+D97</f>
        <v>5620.599999999999</v>
      </c>
      <c r="E141" s="19"/>
      <c r="F141" s="19"/>
      <c r="G141" s="6"/>
      <c r="H141" s="6"/>
      <c r="I141" s="20"/>
      <c r="K141" s="45"/>
      <c r="L141" s="45"/>
    </row>
    <row r="142" spans="1:12" ht="19.5" thickBot="1">
      <c r="A142" s="14" t="s">
        <v>19</v>
      </c>
      <c r="B142" s="54">
        <f>B6+B18+B33+B43+B51+B58+B68+B71+B76+B78+B86+B89+B94+B101+B106+B99+B83+B97+B45</f>
        <v>157547.3</v>
      </c>
      <c r="C142" s="54">
        <f>C6+C18+C33+C43+C51+C58+C68+C71+C76+C78+C86+C89+C94+C101+C106+C99+C83+C97+C45</f>
        <v>890478.3</v>
      </c>
      <c r="D142" s="54">
        <f>D6+D18+D33+D43+D51+D58+D68+D71+D76+D78+D86+D89+D94+D101+D106+D99+D83+D97+D45</f>
        <v>76497.6</v>
      </c>
      <c r="E142" s="38">
        <v>100</v>
      </c>
      <c r="F142" s="3">
        <f>D142/B142*100</f>
        <v>48.55532275069139</v>
      </c>
      <c r="G142" s="3">
        <f aca="true" t="shared" si="18" ref="G142:G148">D142/C142*100</f>
        <v>8.590619221153396</v>
      </c>
      <c r="H142" s="3">
        <f aca="true" t="shared" si="19" ref="H142:H148">B142-D142</f>
        <v>81049.69999999998</v>
      </c>
      <c r="I142" s="3">
        <f aca="true" t="shared" si="20" ref="I142:I148">C142-D142</f>
        <v>813980.7000000001</v>
      </c>
      <c r="K142" s="46"/>
      <c r="L142" s="47"/>
    </row>
    <row r="143" spans="1:12" ht="18.75">
      <c r="A143" s="23" t="s">
        <v>5</v>
      </c>
      <c r="B143" s="67">
        <f>B8+B20+B34+B52+B59+B90+B114+B118+B46+B133</f>
        <v>78573.29999999999</v>
      </c>
      <c r="C143" s="67">
        <f>C8+C20+C34+C52+C59+C90+C114+C118+C46+C133</f>
        <v>507335.6</v>
      </c>
      <c r="D143" s="67">
        <f>D8+D20+D34+D52+D59+D90+D114+D118+D46+D133</f>
        <v>54713.40000000001</v>
      </c>
      <c r="E143" s="6">
        <f>D143/D142*100</f>
        <v>71.5230281734329</v>
      </c>
      <c r="F143" s="6">
        <f aca="true" t="shared" si="21" ref="F143:F154">D143/B143*100</f>
        <v>69.63357781841925</v>
      </c>
      <c r="G143" s="6">
        <f t="shared" si="18"/>
        <v>10.784459044466821</v>
      </c>
      <c r="H143" s="6">
        <f t="shared" si="19"/>
        <v>23859.89999999998</v>
      </c>
      <c r="I143" s="18">
        <f t="shared" si="20"/>
        <v>452622.19999999995</v>
      </c>
      <c r="K143" s="46"/>
      <c r="L143" s="47"/>
    </row>
    <row r="144" spans="1:12" ht="18.75">
      <c r="A144" s="23" t="s">
        <v>0</v>
      </c>
      <c r="B144" s="68">
        <f>B11+B23+B36+B55+B61+B91+B49+B134+B108+B111+B95</f>
        <v>22480.200000000004</v>
      </c>
      <c r="C144" s="68">
        <f>C11+C23+C36+C55+C61+C91+C49+C134+C108+C111+C95</f>
        <v>96283.59999999999</v>
      </c>
      <c r="D144" s="68">
        <f>D11+D23+D36+D55+D61+D91+D49+D134+D108+D111+D95</f>
        <v>4346.9</v>
      </c>
      <c r="E144" s="6">
        <f>D144/D142*100</f>
        <v>5.682400493610256</v>
      </c>
      <c r="F144" s="6">
        <f t="shared" si="21"/>
        <v>19.336571738685592</v>
      </c>
      <c r="G144" s="6">
        <f t="shared" si="18"/>
        <v>4.514683705220826</v>
      </c>
      <c r="H144" s="6">
        <f t="shared" si="19"/>
        <v>18133.300000000003</v>
      </c>
      <c r="I144" s="18">
        <f t="shared" si="20"/>
        <v>91936.7</v>
      </c>
      <c r="K144" s="46"/>
      <c r="L144" s="102"/>
    </row>
    <row r="145" spans="1:12" ht="18.75">
      <c r="A145" s="23" t="s">
        <v>1</v>
      </c>
      <c r="B145" s="67">
        <f>B22+B10+B54+B48+B60+B35+B102+B122</f>
        <v>3931.9</v>
      </c>
      <c r="C145" s="67">
        <f>C22+C10+C54+C48+C60+C35+C102+C122</f>
        <v>25001.3</v>
      </c>
      <c r="D145" s="67">
        <f>D22+D10+D54+D48+D60+D35+D102+D122</f>
        <v>2559.2000000000003</v>
      </c>
      <c r="E145" s="6">
        <f>D145/D142*100</f>
        <v>3.3454644328710965</v>
      </c>
      <c r="F145" s="6">
        <f t="shared" si="21"/>
        <v>65.0881253338081</v>
      </c>
      <c r="G145" s="6">
        <f t="shared" si="18"/>
        <v>10.23626771407887</v>
      </c>
      <c r="H145" s="6">
        <f t="shared" si="19"/>
        <v>1372.6999999999998</v>
      </c>
      <c r="I145" s="18">
        <f t="shared" si="20"/>
        <v>22442.1</v>
      </c>
      <c r="K145" s="46"/>
      <c r="L145" s="47"/>
    </row>
    <row r="146" spans="1:12" ht="21" customHeight="1">
      <c r="A146" s="23" t="s">
        <v>15</v>
      </c>
      <c r="B146" s="67">
        <f>B12+B24+B103+B62+B38+B92</f>
        <v>1200.1</v>
      </c>
      <c r="C146" s="67">
        <f>C12+C24+C103+C62+C38+C92</f>
        <v>7627.299999999999</v>
      </c>
      <c r="D146" s="67">
        <f>D12+D24+D103+D62+D38+D92</f>
        <v>580.0999999999999</v>
      </c>
      <c r="E146" s="6">
        <f>D146/D142*100</f>
        <v>0.7583244441655684</v>
      </c>
      <c r="F146" s="6">
        <f t="shared" si="21"/>
        <v>48.33763853012248</v>
      </c>
      <c r="G146" s="6">
        <f t="shared" si="18"/>
        <v>7.605574711890184</v>
      </c>
      <c r="H146" s="6">
        <f t="shared" si="19"/>
        <v>620</v>
      </c>
      <c r="I146" s="18">
        <f t="shared" si="20"/>
        <v>7047.199999999999</v>
      </c>
      <c r="K146" s="46"/>
      <c r="L146" s="102"/>
    </row>
    <row r="147" spans="1:12" ht="18.75">
      <c r="A147" s="23" t="s">
        <v>2</v>
      </c>
      <c r="B147" s="67">
        <f>B9+B21+B47+B53+B121</f>
        <v>656</v>
      </c>
      <c r="C147" s="67">
        <f>C9+C21+C47+C53+C121</f>
        <v>12548.400000000001</v>
      </c>
      <c r="D147" s="67">
        <f>D9+D21+D47+D53+D121</f>
        <v>106.1</v>
      </c>
      <c r="E147" s="6">
        <f>D147/D142*100</f>
        <v>0.13869716174102192</v>
      </c>
      <c r="F147" s="6">
        <f t="shared" si="21"/>
        <v>16.17378048780488</v>
      </c>
      <c r="G147" s="6">
        <f t="shared" si="18"/>
        <v>0.8455261228523158</v>
      </c>
      <c r="H147" s="6">
        <f t="shared" si="19"/>
        <v>549.9</v>
      </c>
      <c r="I147" s="18">
        <f t="shared" si="20"/>
        <v>12442.300000000001</v>
      </c>
      <c r="K147" s="46"/>
      <c r="L147" s="47"/>
    </row>
    <row r="148" spans="1:12" ht="19.5" thickBot="1">
      <c r="A148" s="23" t="s">
        <v>35</v>
      </c>
      <c r="B148" s="67">
        <f>B142-B143-B144-B145-B146-B147</f>
        <v>50705.799999999996</v>
      </c>
      <c r="C148" s="67">
        <f>C142-C143-C144-C145-C146-C147</f>
        <v>241682.10000000012</v>
      </c>
      <c r="D148" s="67">
        <f>D142-D143-D144-D145-D146-D147</f>
        <v>14191.899999999994</v>
      </c>
      <c r="E148" s="6">
        <f>D148/D142*100</f>
        <v>18.552085294179154</v>
      </c>
      <c r="F148" s="6">
        <f t="shared" si="21"/>
        <v>27.98871135057527</v>
      </c>
      <c r="G148" s="43">
        <f t="shared" si="18"/>
        <v>5.872135338115643</v>
      </c>
      <c r="H148" s="6">
        <f t="shared" si="19"/>
        <v>36513.9</v>
      </c>
      <c r="I148" s="6">
        <f t="shared" si="20"/>
        <v>227490.20000000013</v>
      </c>
      <c r="K148" s="46"/>
      <c r="L148" s="102"/>
    </row>
    <row r="149" spans="1:12" ht="5.25" customHeight="1" thickBot="1">
      <c r="A149" s="35"/>
      <c r="B149" s="85"/>
      <c r="C149" s="86"/>
      <c r="D149" s="86"/>
      <c r="E149" s="21"/>
      <c r="F149" s="21"/>
      <c r="G149" s="21"/>
      <c r="H149" s="21"/>
      <c r="I149" s="22"/>
      <c r="K149" s="46"/>
      <c r="L149" s="46"/>
    </row>
    <row r="150" spans="1:12" ht="18.75">
      <c r="A150" s="32" t="s">
        <v>21</v>
      </c>
      <c r="B150" s="87">
        <v>3301.9</v>
      </c>
      <c r="C150" s="73">
        <v>3301.9</v>
      </c>
      <c r="D150" s="73"/>
      <c r="E150" s="15"/>
      <c r="F150" s="6">
        <f t="shared" si="21"/>
        <v>0</v>
      </c>
      <c r="G150" s="6">
        <f aca="true" t="shared" si="22" ref="G150:G159">D150/C150*100</f>
        <v>0</v>
      </c>
      <c r="H150" s="6">
        <f>B150-D150</f>
        <v>3301.9</v>
      </c>
      <c r="I150" s="6">
        <f aca="true" t="shared" si="23" ref="I150:I159">C150-D150</f>
        <v>3301.9</v>
      </c>
      <c r="J150" s="104"/>
      <c r="K150" s="46"/>
      <c r="L150" s="46"/>
    </row>
    <row r="151" spans="1:12" ht="18.75" hidden="1">
      <c r="A151" s="23" t="s">
        <v>22</v>
      </c>
      <c r="B151" s="88"/>
      <c r="C151" s="67"/>
      <c r="D151" s="67"/>
      <c r="E151" s="6"/>
      <c r="F151" s="6" t="e">
        <f t="shared" si="21"/>
        <v>#DIV/0!</v>
      </c>
      <c r="G151" s="6" t="e">
        <f t="shared" si="22"/>
        <v>#DIV/0!</v>
      </c>
      <c r="H151" s="6">
        <f aca="true" t="shared" si="24" ref="H151:H158">B151-D151</f>
        <v>0</v>
      </c>
      <c r="I151" s="6">
        <f t="shared" si="23"/>
        <v>0</v>
      </c>
      <c r="K151" s="46"/>
      <c r="L151" s="46"/>
    </row>
    <row r="152" spans="1:12" ht="18.75">
      <c r="A152" s="23" t="s">
        <v>62</v>
      </c>
      <c r="B152" s="88">
        <v>30726.7</v>
      </c>
      <c r="C152" s="67">
        <v>105819.2</v>
      </c>
      <c r="D152" s="67"/>
      <c r="E152" s="6"/>
      <c r="F152" s="6">
        <f t="shared" si="21"/>
        <v>0</v>
      </c>
      <c r="G152" s="6">
        <f t="shared" si="22"/>
        <v>0</v>
      </c>
      <c r="H152" s="6">
        <f t="shared" si="24"/>
        <v>30726.7</v>
      </c>
      <c r="I152" s="6">
        <f t="shared" si="23"/>
        <v>105819.2</v>
      </c>
      <c r="K152" s="46"/>
      <c r="L152" s="46"/>
    </row>
    <row r="153" spans="1:12" ht="37.5" hidden="1">
      <c r="A153" s="23" t="s">
        <v>71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t="shared" si="24"/>
        <v>0</v>
      </c>
      <c r="I153" s="6">
        <f t="shared" si="23"/>
        <v>0</v>
      </c>
      <c r="K153" s="46"/>
      <c r="L153" s="46"/>
    </row>
    <row r="154" spans="1:12" ht="18.75">
      <c r="A154" s="23" t="s">
        <v>13</v>
      </c>
      <c r="B154" s="88">
        <v>0</v>
      </c>
      <c r="C154" s="67">
        <v>54</v>
      </c>
      <c r="D154" s="67"/>
      <c r="E154" s="19"/>
      <c r="F154" s="119" t="e">
        <f t="shared" si="21"/>
        <v>#DIV/0!</v>
      </c>
      <c r="G154" s="6">
        <f t="shared" si="22"/>
        <v>0</v>
      </c>
      <c r="H154" s="6">
        <f t="shared" si="24"/>
        <v>0</v>
      </c>
      <c r="I154" s="6">
        <f t="shared" si="23"/>
        <v>54</v>
      </c>
      <c r="K154" s="46"/>
      <c r="L154" s="46"/>
    </row>
    <row r="155" spans="1:12" ht="18.75" hidden="1">
      <c r="A155" s="23" t="s">
        <v>26</v>
      </c>
      <c r="B155" s="88"/>
      <c r="C155" s="67"/>
      <c r="D155" s="67"/>
      <c r="E155" s="19"/>
      <c r="F155" s="6" t="e">
        <f>D155/B155*100</f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9" ht="19.5" thickBot="1">
      <c r="A156" s="23" t="s">
        <v>53</v>
      </c>
      <c r="B156" s="88">
        <v>190.8</v>
      </c>
      <c r="C156" s="67">
        <v>1212</v>
      </c>
      <c r="D156" s="67"/>
      <c r="E156" s="19"/>
      <c r="F156" s="6">
        <f>D156/B156*100</f>
        <v>0</v>
      </c>
      <c r="G156" s="6">
        <f t="shared" si="22"/>
        <v>0</v>
      </c>
      <c r="H156" s="6">
        <f t="shared" si="24"/>
        <v>190.8</v>
      </c>
      <c r="I156" s="6">
        <f t="shared" si="23"/>
        <v>1212</v>
      </c>
    </row>
    <row r="157" spans="1:9" ht="19.5" customHeight="1" hidden="1">
      <c r="A157" s="23" t="s">
        <v>69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</row>
    <row r="158" spans="1:9" ht="19.5" hidden="1" thickBot="1">
      <c r="A158" s="23" t="s">
        <v>63</v>
      </c>
      <c r="B158" s="88"/>
      <c r="C158" s="89"/>
      <c r="D158" s="89"/>
      <c r="E158" s="24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</row>
    <row r="159" spans="1:9" ht="19.5" thickBot="1">
      <c r="A159" s="14" t="s">
        <v>20</v>
      </c>
      <c r="B159" s="90">
        <f>B142+B150+B154+B155+B151+B158+B157+B152+B156+B153</f>
        <v>191766.69999999998</v>
      </c>
      <c r="C159" s="90">
        <f>C142+C150+C154+C155+C151+C158+C157+C152+C156+C153</f>
        <v>1000865.4</v>
      </c>
      <c r="D159" s="90">
        <f>D142+D150+D154+D155+D151+D158+D157+D152+D156+D153</f>
        <v>76497.6</v>
      </c>
      <c r="E159" s="25"/>
      <c r="F159" s="3">
        <f>D159/B159*100</f>
        <v>39.890971685907935</v>
      </c>
      <c r="G159" s="3">
        <f t="shared" si="22"/>
        <v>7.643145621778913</v>
      </c>
      <c r="H159" s="3">
        <f>B159-D159</f>
        <v>115269.09999999998</v>
      </c>
      <c r="I159" s="3">
        <f t="shared" si="23"/>
        <v>924367.8</v>
      </c>
    </row>
    <row r="160" spans="7:8" ht="12.75">
      <c r="G160" s="26"/>
      <c r="H160" s="26"/>
    </row>
    <row r="161" spans="7:9" ht="12.75">
      <c r="G161" s="26"/>
      <c r="H161" s="26"/>
      <c r="I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76497.6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фінансування'!C142</f>
        <v>890478.3</v>
      </c>
    </row>
    <row r="2" spans="1:5" ht="15.75">
      <c r="A2" s="4"/>
      <c r="B2" s="4"/>
      <c r="C2" s="4"/>
      <c r="D2" s="4" t="s">
        <v>39</v>
      </c>
      <c r="E2" s="5">
        <f>'аналіз фінансування'!D142</f>
        <v>76497.6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2015-02-19T09:04:46Z</cp:lastPrinted>
  <dcterms:created xsi:type="dcterms:W3CDTF">2000-06-20T04:48:00Z</dcterms:created>
  <dcterms:modified xsi:type="dcterms:W3CDTF">2015-02-23T06:46:54Z</dcterms:modified>
  <cp:category/>
  <cp:version/>
  <cp:contentType/>
  <cp:contentStatus/>
</cp:coreProperties>
</file>